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Сайт finoperator\Сайт с отдельным CSS-файлом\files\"/>
    </mc:Choice>
  </mc:AlternateContent>
  <xr:revisionPtr revIDLastSave="0" documentId="13_ncr:1_{01C062CB-381C-42FF-B2C6-5FAAF26542B8}" xr6:coauthVersionLast="45" xr6:coauthVersionMax="45" xr10:uidLastSave="{00000000-0000-0000-0000-000000000000}"/>
  <workbookProtection workbookAlgorithmName="SHA-512" workbookHashValue="7aPIkaGpf/gfIygAO77naxg0dgr4+9/gyd0YfUX+W4YaVR/HWWBxB3osRecew15SVXexdsKlr0RhbjO93gXQbQ==" workbookSaltValue="fJ9UWfoqj83JrXmYXBsI6Q==" workbookSpinCount="100000" lockStructure="1"/>
  <bookViews>
    <workbookView xWindow="-108" yWindow="-108" windowWidth="23256" windowHeight="12576" firstSheet="1" activeTab="2" xr2:uid="{5FD3D164-2C56-4D82-8466-890324F5BDCC}"/>
  </bookViews>
  <sheets>
    <sheet name="Заказы" sheetId="1" state="hidden" r:id="rId1"/>
    <sheet name="Сводные" sheetId="8" r:id="rId2"/>
    <sheet name="Дэшборд" sheetId="3" r:id="rId3"/>
  </sheets>
  <definedNames>
    <definedName name="_xlnm._FilterDatabase" localSheetId="0" hidden="1">Заказы!$D$1:$D$188</definedName>
    <definedName name="Срез_Менеджер">#N/A</definedName>
    <definedName name="Срез_Месяц">#N/A</definedName>
    <definedName name="Срез_Фабрика">#N/A</definedName>
  </definedNames>
  <calcPr calcId="191029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" i="3" l="1"/>
  <c r="M5" i="3"/>
  <c r="I5" i="3"/>
  <c r="E5" i="3"/>
  <c r="L188" i="1"/>
  <c r="L187" i="1"/>
  <c r="L186" i="1"/>
  <c r="L185" i="1"/>
  <c r="L184" i="1"/>
  <c r="L183" i="1"/>
  <c r="L178" i="1"/>
  <c r="L179" i="1"/>
  <c r="L180" i="1"/>
  <c r="L181" i="1"/>
  <c r="L182" i="1"/>
  <c r="L177" i="1"/>
  <c r="L176" i="1"/>
  <c r="L175" i="1"/>
  <c r="L174" i="1"/>
  <c r="L173" i="1" l="1"/>
  <c r="L172" i="1"/>
  <c r="L171" i="1"/>
  <c r="L170" i="1"/>
  <c r="L169" i="1"/>
  <c r="L168" i="1"/>
  <c r="L167" i="1"/>
  <c r="L166" i="1"/>
  <c r="L165" i="1"/>
  <c r="L164" i="1"/>
  <c r="L84" i="1"/>
  <c r="L85" i="1"/>
  <c r="L86" i="1"/>
  <c r="L70" i="1"/>
  <c r="L71" i="1"/>
  <c r="L72" i="1"/>
  <c r="L74" i="1"/>
  <c r="L28" i="1"/>
  <c r="L6" i="1" l="1"/>
  <c r="L3" i="1" l="1"/>
  <c r="L4" i="1"/>
  <c r="L5" i="1"/>
  <c r="L7" i="1"/>
  <c r="L9" i="1"/>
  <c r="L15" i="1"/>
  <c r="L16" i="1"/>
  <c r="L17" i="1"/>
  <c r="L18" i="1"/>
  <c r="L19" i="1"/>
  <c r="L20" i="1"/>
  <c r="L21" i="1"/>
  <c r="L23" i="1"/>
  <c r="L24" i="1"/>
  <c r="L25" i="1"/>
  <c r="L26" i="1"/>
  <c r="L27" i="1"/>
  <c r="L29" i="1"/>
  <c r="L31" i="1"/>
  <c r="L33" i="1"/>
  <c r="L34" i="1"/>
  <c r="L35" i="1"/>
  <c r="L36" i="1"/>
  <c r="L37" i="1"/>
  <c r="L38" i="1"/>
  <c r="L39" i="1"/>
  <c r="L43" i="1"/>
  <c r="L44" i="1"/>
  <c r="L45" i="1"/>
  <c r="L47" i="1"/>
  <c r="L50" i="1"/>
  <c r="L54" i="1"/>
  <c r="L56" i="1"/>
  <c r="L57" i="1"/>
  <c r="L59" i="1"/>
  <c r="L60" i="1"/>
  <c r="L61" i="1"/>
  <c r="L62" i="1"/>
  <c r="L64" i="1"/>
  <c r="L65" i="1"/>
  <c r="L67" i="1"/>
  <c r="L76" i="1"/>
  <c r="L77" i="1"/>
  <c r="L79" i="1"/>
  <c r="L80" i="1"/>
  <c r="L83" i="1"/>
  <c r="L88" i="1"/>
  <c r="L89" i="1"/>
  <c r="L90" i="1"/>
  <c r="L95" i="1"/>
  <c r="L97" i="1"/>
  <c r="L98" i="1"/>
  <c r="L99" i="1"/>
  <c r="L100" i="1"/>
  <c r="L101" i="1"/>
  <c r="L102" i="1"/>
  <c r="L103" i="1"/>
  <c r="L104" i="1"/>
  <c r="L105" i="1"/>
  <c r="L106" i="1"/>
  <c r="L107" i="1"/>
  <c r="L109" i="1"/>
  <c r="L110" i="1"/>
  <c r="L114" i="1"/>
  <c r="L115" i="1"/>
  <c r="L116" i="1"/>
  <c r="L122" i="1"/>
  <c r="L124" i="1"/>
  <c r="L129" i="1"/>
  <c r="L130" i="1"/>
  <c r="L137" i="1"/>
  <c r="L138" i="1"/>
  <c r="L144" i="1"/>
  <c r="L146" i="1"/>
  <c r="L148" i="1"/>
  <c r="L149" i="1"/>
  <c r="L153" i="1"/>
  <c r="L157" i="1"/>
  <c r="L159" i="1"/>
  <c r="L162" i="1"/>
  <c r="L163" i="1"/>
  <c r="L2" i="1"/>
  <c r="I160" i="1" l="1"/>
  <c r="L160" i="1" s="1"/>
  <c r="I158" i="1"/>
  <c r="L158" i="1" s="1"/>
  <c r="I156" i="1"/>
  <c r="L156" i="1" s="1"/>
  <c r="J155" i="1"/>
  <c r="I155" i="1"/>
  <c r="I154" i="1"/>
  <c r="H154" i="1"/>
  <c r="I152" i="1"/>
  <c r="L152" i="1" s="1"/>
  <c r="I151" i="1"/>
  <c r="L151" i="1" s="1"/>
  <c r="I150" i="1"/>
  <c r="H150" i="1"/>
  <c r="I147" i="1"/>
  <c r="L147" i="1" s="1"/>
  <c r="I143" i="1"/>
  <c r="L143" i="1" s="1"/>
  <c r="I142" i="1"/>
  <c r="L142" i="1" s="1"/>
  <c r="I141" i="1"/>
  <c r="L141" i="1" s="1"/>
  <c r="I140" i="1"/>
  <c r="L140" i="1" s="1"/>
  <c r="I145" i="1"/>
  <c r="L145" i="1" s="1"/>
  <c r="I139" i="1"/>
  <c r="L139" i="1" s="1"/>
  <c r="I136" i="1"/>
  <c r="L136" i="1" s="1"/>
  <c r="I135" i="1"/>
  <c r="L135" i="1" s="1"/>
  <c r="I134" i="1"/>
  <c r="L134" i="1" s="1"/>
  <c r="I133" i="1"/>
  <c r="L133" i="1" s="1"/>
  <c r="I132" i="1"/>
  <c r="L132" i="1" s="1"/>
  <c r="H131" i="1"/>
  <c r="L131" i="1" s="1"/>
  <c r="I128" i="1"/>
  <c r="L128" i="1" s="1"/>
  <c r="I127" i="1"/>
  <c r="L127" i="1" s="1"/>
  <c r="I126" i="1"/>
  <c r="L126" i="1" s="1"/>
  <c r="I125" i="1"/>
  <c r="H125" i="1"/>
  <c r="I123" i="1"/>
  <c r="L123" i="1" s="1"/>
  <c r="I121" i="1"/>
  <c r="L121" i="1" s="1"/>
  <c r="I120" i="1"/>
  <c r="L120" i="1" s="1"/>
  <c r="I119" i="1"/>
  <c r="L119" i="1" s="1"/>
  <c r="I118" i="1"/>
  <c r="L118" i="1" s="1"/>
  <c r="I117" i="1"/>
  <c r="L117" i="1" s="1"/>
  <c r="I113" i="1"/>
  <c r="L113" i="1" s="1"/>
  <c r="I112" i="1"/>
  <c r="L112" i="1" s="1"/>
  <c r="J111" i="1"/>
  <c r="I111" i="1"/>
  <c r="I108" i="1"/>
  <c r="L108" i="1" s="1"/>
  <c r="I96" i="1"/>
  <c r="L96" i="1" s="1"/>
  <c r="I94" i="1"/>
  <c r="L94" i="1" s="1"/>
  <c r="I93" i="1"/>
  <c r="L93" i="1" s="1"/>
  <c r="I92" i="1"/>
  <c r="L92" i="1" s="1"/>
  <c r="I91" i="1"/>
  <c r="L91" i="1" s="1"/>
  <c r="I87" i="1"/>
  <c r="L87" i="1" s="1"/>
  <c r="I82" i="1"/>
  <c r="L82" i="1" s="1"/>
  <c r="I81" i="1"/>
  <c r="L81" i="1" s="1"/>
  <c r="I55" i="1"/>
  <c r="L55" i="1" s="1"/>
  <c r="I75" i="1"/>
  <c r="L75" i="1" s="1"/>
  <c r="I78" i="1"/>
  <c r="L78" i="1" s="1"/>
  <c r="I73" i="1"/>
  <c r="L73" i="1" s="1"/>
  <c r="J69" i="1"/>
  <c r="L69" i="1" s="1"/>
  <c r="J68" i="1"/>
  <c r="L68" i="1" s="1"/>
  <c r="J66" i="1"/>
  <c r="L66" i="1" s="1"/>
  <c r="I63" i="1"/>
  <c r="L63" i="1" s="1"/>
  <c r="I58" i="1"/>
  <c r="L58" i="1" s="1"/>
  <c r="J53" i="1"/>
  <c r="L53" i="1" s="1"/>
  <c r="I52" i="1"/>
  <c r="L52" i="1" s="1"/>
  <c r="I49" i="1"/>
  <c r="L49" i="1" s="1"/>
  <c r="I48" i="1"/>
  <c r="L48" i="1" s="1"/>
  <c r="J42" i="1"/>
  <c r="I42" i="1"/>
  <c r="I40" i="1"/>
  <c r="L40" i="1" s="1"/>
  <c r="I32" i="1"/>
  <c r="L32" i="1" s="1"/>
  <c r="H14" i="1"/>
  <c r="L14" i="1" s="1"/>
  <c r="I22" i="1"/>
  <c r="L22" i="1" s="1"/>
  <c r="I30" i="1"/>
  <c r="L30" i="1" s="1"/>
  <c r="J46" i="1"/>
  <c r="L46" i="1" s="1"/>
  <c r="I161" i="1"/>
  <c r="L161" i="1" s="1"/>
  <c r="L42" i="1" l="1"/>
  <c r="L111" i="1"/>
  <c r="L125" i="1"/>
  <c r="L150" i="1"/>
  <c r="L154" i="1"/>
  <c r="L1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</author>
    <author>Аня</author>
    <author>Natasha</author>
  </authors>
  <commentList>
    <comment ref="I16" authorId="0" shapeId="0" xr:uid="{6DC59F6A-8F77-4B86-A5B0-E5C78B9E576F}">
      <text>
        <r>
          <rPr>
            <b/>
            <sz val="8"/>
            <color indexed="81"/>
            <rFont val="Tahoma"/>
            <family val="2"/>
            <charset val="204"/>
          </rPr>
          <t>1537,85 - costo divano + 300 euro differenza prezzi.</t>
        </r>
      </text>
    </comment>
    <comment ref="I26" authorId="1" shapeId="0" xr:uid="{E500C625-2EC8-42F3-A147-093A9DB90388}">
      <text>
        <r>
          <rPr>
            <b/>
            <sz val="8"/>
            <color indexed="81"/>
            <rFont val="Tahoma"/>
            <family val="2"/>
            <charset val="204"/>
          </rPr>
          <t xml:space="preserve">80.74 Евро - доплата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I46" authorId="2" shapeId="0" xr:uid="{24ED4854-648C-4AEA-996F-751662027E5B}">
      <text>
        <r>
          <rPr>
            <b/>
            <sz val="8"/>
            <color indexed="81"/>
            <rFont val="Tahoma"/>
            <family val="2"/>
            <charset val="204"/>
          </rPr>
          <t>100,78 fattura + 440,21 trasporto</t>
        </r>
      </text>
    </comment>
    <comment ref="J158" authorId="1" shapeId="0" xr:uid="{5B4EE738-6771-4D14-B77C-EDC8D1B797AE}">
      <text>
        <r>
          <rPr>
            <b/>
            <sz val="8"/>
            <color indexed="81"/>
            <rFont val="Tahoma"/>
            <family val="2"/>
            <charset val="204"/>
          </rPr>
          <t>39,42$ - оплачено 25.03, общая сумма задолженности на 25.03 - 7692,25$.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>Доплачено 27/03.</t>
        </r>
      </text>
    </comment>
  </commentList>
</comments>
</file>

<file path=xl/sharedStrings.xml><?xml version="1.0" encoding="utf-8"?>
<sst xmlns="http://schemas.openxmlformats.org/spreadsheetml/2006/main" count="1280" uniqueCount="205">
  <si>
    <t>Дата</t>
  </si>
  <si>
    <t>Менеджер</t>
  </si>
  <si>
    <t>Фабрика</t>
  </si>
  <si>
    <t>Вид мебели</t>
  </si>
  <si>
    <t>Стиль</t>
  </si>
  <si>
    <t>Rif</t>
  </si>
  <si>
    <t>Конечная цена для клиента</t>
  </si>
  <si>
    <t>К оплате поставщику</t>
  </si>
  <si>
    <t>Транспорт и таможня</t>
  </si>
  <si>
    <t>Ценовая кат</t>
  </si>
  <si>
    <t>Agora</t>
  </si>
  <si>
    <t>Прихожие</t>
  </si>
  <si>
    <t>счет 41, accessori Barocca</t>
  </si>
  <si>
    <t>Ванная</t>
  </si>
  <si>
    <t>счет 68, bagno</t>
  </si>
  <si>
    <t>счет 68, top</t>
  </si>
  <si>
    <t>счет 86, Guzel bagno (arch. Masha)</t>
  </si>
  <si>
    <t>счет 87, Тенденца №53</t>
  </si>
  <si>
    <t>счет 88, bagno</t>
  </si>
  <si>
    <t>счет 78, Дембицкая Валентина Ивановна</t>
  </si>
  <si>
    <t>Diva</t>
  </si>
  <si>
    <t>Кухня</t>
  </si>
  <si>
    <t>Anakhina cucina</t>
  </si>
  <si>
    <t>счет 65, bagno</t>
  </si>
  <si>
    <t>счет 60, Sochi</t>
  </si>
  <si>
    <t>счета 56, 57 Grishina</t>
  </si>
  <si>
    <t>Ryazanzev</t>
  </si>
  <si>
    <t>cucina Shtrymova</t>
  </si>
  <si>
    <t>Штрымова, замены</t>
  </si>
  <si>
    <t>Friulimport</t>
  </si>
  <si>
    <t>Мягкая</t>
  </si>
  <si>
    <t>диван</t>
  </si>
  <si>
    <t>Varaschin</t>
  </si>
  <si>
    <t>Спальни</t>
  </si>
  <si>
    <t>кровать</t>
  </si>
  <si>
    <t>CONSEGNA 4</t>
  </si>
  <si>
    <t>mostra SPb.</t>
  </si>
  <si>
    <t>счет 80, mostra SPb. (corteccia)</t>
  </si>
  <si>
    <t>счет 74, mostra SPb. (bagno pelle)</t>
  </si>
  <si>
    <t>счет 75, mostra SPb.(bagno nero tondo)</t>
  </si>
  <si>
    <t>счет 76, mostra SPb. (bagno rosso)</t>
  </si>
  <si>
    <t>mostra SPb. cucina 3</t>
  </si>
  <si>
    <t>счет 101, bagno</t>
  </si>
  <si>
    <t>счет 64, 69 - corteccia, светильники</t>
  </si>
  <si>
    <t>cucina CONSEGNA 37</t>
  </si>
  <si>
    <t>divano</t>
  </si>
  <si>
    <t>счет 102, заказ 90</t>
  </si>
  <si>
    <t>счет 103, bagno 1</t>
  </si>
  <si>
    <t>счет 104, bagno 2</t>
  </si>
  <si>
    <t>ООО Контур (столик и 2 стула)</t>
  </si>
  <si>
    <t>стулья Kresus</t>
  </si>
  <si>
    <t>буазери</t>
  </si>
  <si>
    <t>Veneran</t>
  </si>
  <si>
    <t>счет 94, зеркало</t>
  </si>
  <si>
    <t>кухня N38</t>
  </si>
  <si>
    <t>счет 98, ванная</t>
  </si>
  <si>
    <t>Вороненко (Наташа, 4 стула)</t>
  </si>
  <si>
    <t>счет 106, ванная</t>
  </si>
  <si>
    <t>счет 109, кухня</t>
  </si>
  <si>
    <t>Oldline</t>
  </si>
  <si>
    <t>СТОЛ И СТУЛЬЯ rif. Ponomarev кухня Queen</t>
  </si>
  <si>
    <t>счет 112, Фоминцев-2, детская ванная</t>
  </si>
  <si>
    <t>счет 116 ordine 1 cliente cucina SC, Cons. 39</t>
  </si>
  <si>
    <t>Maior</t>
  </si>
  <si>
    <t>счет 117 ordine 2 (Alternative-13) cucina Maior</t>
  </si>
  <si>
    <t>FM Bottega</t>
  </si>
  <si>
    <t>Гостиная</t>
  </si>
  <si>
    <t>счет 114 (стол, стулья)</t>
  </si>
  <si>
    <t>счет 122</t>
  </si>
  <si>
    <t>счет 119, carico 25</t>
  </si>
  <si>
    <t>счет 121</t>
  </si>
  <si>
    <t>счет 118, заказ 146</t>
  </si>
  <si>
    <t>счет 125, Nadia - Gorki-2</t>
  </si>
  <si>
    <t>счет 124, Nadia - Yakhroma</t>
  </si>
  <si>
    <t>спальня, счет 108</t>
  </si>
  <si>
    <t>счет 126</t>
  </si>
  <si>
    <t>счет 127, заказ 158</t>
  </si>
  <si>
    <t>mostra SPb., divano Terminal</t>
  </si>
  <si>
    <t>счет 130 mostra SPb., tavolo, sedie</t>
  </si>
  <si>
    <t>mostra SPb., cucina Serena</t>
  </si>
  <si>
    <t>mostra SPb., cucina Carmen</t>
  </si>
  <si>
    <t>гардеробные</t>
  </si>
  <si>
    <t>счет 136, заказ 187</t>
  </si>
  <si>
    <t>Quaia</t>
  </si>
  <si>
    <t>счет 135 (корп. мебель)</t>
  </si>
  <si>
    <t>Rigo Salotti</t>
  </si>
  <si>
    <t>счет 135 (кровать)</t>
  </si>
  <si>
    <t>rif. London кухня SC</t>
  </si>
  <si>
    <t>счет 148, заказ 196</t>
  </si>
  <si>
    <t>счет 137 mostra SPb., sedie Olivia</t>
  </si>
  <si>
    <t>фурнитура повторно</t>
  </si>
  <si>
    <t>счет 149 (зеркало, светильник)</t>
  </si>
  <si>
    <t>счет 143 (CONSEGNA 34, Перфильев)</t>
  </si>
  <si>
    <t>счет 144 (CONSEGNA 33)</t>
  </si>
  <si>
    <t>счет 145 (Заказ №2507)</t>
  </si>
  <si>
    <t>счет 150, кухня CONSEGNA 32</t>
  </si>
  <si>
    <t>счет 153, ванная</t>
  </si>
  <si>
    <t>счет 152, кровать</t>
  </si>
  <si>
    <t>счет 156, диван</t>
  </si>
  <si>
    <t>счет 142 (Заказ №2807)  (CONSEGNA 5)</t>
  </si>
  <si>
    <t>счет 155 (CONSEGNA 6)</t>
  </si>
  <si>
    <t>счет 158, кухня  (CONSEGNA 47)</t>
  </si>
  <si>
    <t>счет 164 (смеситель на кухню) CONSEGNA 7</t>
  </si>
  <si>
    <t>счет 165, дозаказ раковины</t>
  </si>
  <si>
    <t>Santa Lucia</t>
  </si>
  <si>
    <t>счет 166, заказ 226</t>
  </si>
  <si>
    <t>шкаф</t>
  </si>
  <si>
    <t>Presotto</t>
  </si>
  <si>
    <t>счет 170, гостиная, прихожая</t>
  </si>
  <si>
    <t>Euro90</t>
  </si>
  <si>
    <t>счет 171, прихожая</t>
  </si>
  <si>
    <t>счет 154, диван</t>
  </si>
  <si>
    <t>счет 154, кресло</t>
  </si>
  <si>
    <t>счет 173, тумбочки</t>
  </si>
  <si>
    <t>счет 151, техника Whirpool</t>
  </si>
  <si>
    <t>счет 175, стеллаж</t>
  </si>
  <si>
    <t>счет 176, ветрина, тумба</t>
  </si>
  <si>
    <t>счет 177, шкаф</t>
  </si>
  <si>
    <t>счет 178, кухня (CONSEGNA 4)</t>
  </si>
  <si>
    <t>счет 179, ванная</t>
  </si>
  <si>
    <t>счет 180, scacco</t>
  </si>
  <si>
    <t>счет 183, мебель для спальни</t>
  </si>
  <si>
    <t>счет 167, кухня (CONSEGNA 40)</t>
  </si>
  <si>
    <t>счет 160, библиотеки, столики</t>
  </si>
  <si>
    <t>счет 161, диван, кресла</t>
  </si>
  <si>
    <t>счет 162, кровать</t>
  </si>
  <si>
    <t>счет 163, стол, стулик</t>
  </si>
  <si>
    <t>счет 188, ванная</t>
  </si>
  <si>
    <t>счет 189, спальня</t>
  </si>
  <si>
    <t>счет 193, шкаф</t>
  </si>
  <si>
    <t>счет 194, кухня (CONSEGNA 2)</t>
  </si>
  <si>
    <t>счет 198, спальня</t>
  </si>
  <si>
    <t>счет 146 (CONSEGNA 1)</t>
  </si>
  <si>
    <t>счет 195 (смеситель)</t>
  </si>
  <si>
    <t>счет 200 (CONSEGNA 45)</t>
  </si>
  <si>
    <t>счет 197, Эвелина (CONSEGNA 47)</t>
  </si>
  <si>
    <t>счет 201 (CONSEGNA 46)</t>
  </si>
  <si>
    <t>кухня (CONSEGNA 48)</t>
  </si>
  <si>
    <t>счет 203, стол, стулья</t>
  </si>
  <si>
    <t>счет 202, Эвелина</t>
  </si>
  <si>
    <t>счет 204, rif. SPB.-204</t>
  </si>
  <si>
    <t>зеркало-рибальта</t>
  </si>
  <si>
    <t>счет 206, диван</t>
  </si>
  <si>
    <t>счет 182, Арарат (CONSEGNA 3)</t>
  </si>
  <si>
    <t>счет 208, ванная</t>
  </si>
  <si>
    <t>счет 209, ванная</t>
  </si>
  <si>
    <t>счет 211, стулья</t>
  </si>
  <si>
    <t>счет 210, техника к кухне In-Box</t>
  </si>
  <si>
    <t>счет 219, ванная</t>
  </si>
  <si>
    <t>consegna n.72</t>
  </si>
  <si>
    <t>техника мойка, смеситель, измельчитель</t>
  </si>
  <si>
    <t>техника Whirpool</t>
  </si>
  <si>
    <t>техника Miele</t>
  </si>
  <si>
    <t>счет 222, буазери</t>
  </si>
  <si>
    <t>счет 223, кровать</t>
  </si>
  <si>
    <t>счет 223,  золотая ткань для покрывала 4х4 м</t>
  </si>
  <si>
    <t>счет 223, ткань в квадратики, 20 м</t>
  </si>
  <si>
    <t>счет 224, ванная Арарат</t>
  </si>
  <si>
    <t>счет 214, кухня (CONSEGNA 70)</t>
  </si>
  <si>
    <t>счет 220, ванная</t>
  </si>
  <si>
    <t>счет 226, техника (вытяжка)</t>
  </si>
  <si>
    <t>счет 225, кухня (CONSEGNA 71)</t>
  </si>
  <si>
    <t>счет 217, кровать Greta</t>
  </si>
  <si>
    <t>счет 218, ванная</t>
  </si>
  <si>
    <t>кухня (CONSEGNA 1)</t>
  </si>
  <si>
    <t>ванная</t>
  </si>
  <si>
    <t>счет 227, диван Auckland</t>
  </si>
  <si>
    <t>Гардеробные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</si>
  <si>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</si>
  <si>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</si>
  <si>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</si>
  <si>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</si>
  <si>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</si>
  <si>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</si>
  <si>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</si>
  <si>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</si>
  <si>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</si>
  <si>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</si>
  <si>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</si>
  <si>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</si>
  <si>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</si>
  <si>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Горбунков</t>
  </si>
  <si>
    <t>Якин</t>
  </si>
  <si>
    <t>Козодоев</t>
  </si>
  <si>
    <t>Этник</t>
  </si>
  <si>
    <t>Современный</t>
  </si>
  <si>
    <t>Классика</t>
  </si>
  <si>
    <t>Высокая</t>
  </si>
  <si>
    <t>Ginova</t>
  </si>
  <si>
    <t>Милославский</t>
  </si>
  <si>
    <t>BTC</t>
  </si>
  <si>
    <t>Средняя</t>
  </si>
  <si>
    <t>Эконом</t>
  </si>
  <si>
    <t>Прибыль факт</t>
  </si>
  <si>
    <t>Названия строк</t>
  </si>
  <si>
    <t>Общий итог</t>
  </si>
  <si>
    <t>Сумма по полю Конечная цена для клиента</t>
  </si>
  <si>
    <t>Эллочка</t>
  </si>
  <si>
    <t>Сумма по полю К оплате поставщику</t>
  </si>
  <si>
    <t>Сумма по полю Прибыль факт</t>
  </si>
  <si>
    <t>Сумма по полю Транспорт и таможня</t>
  </si>
  <si>
    <t>Сумма заказов</t>
  </si>
  <si>
    <t>Оплата на фабрику</t>
  </si>
  <si>
    <t>Выручка</t>
  </si>
  <si>
    <t>АНАЛИЗ ПРОДАЖ МЕБЕЛЬНОГО САЛОНА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</si>
</sst>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[$€-1]"/>
    <numFmt numFmtId="165" formatCode="_-* #,##0_-;\-* #,##0_-;_-* &quot;-&quot;??_-;_-@_-"/>
    <numFmt numFmtId="166" formatCode="#,##0_ ;\-#,##0\ 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Book Antiqua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name val="Verdana"/>
      <family val="2"/>
      <charset val="204"/>
    </font>
    <font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b/>
      <sz val="14"/>
      <color theme="1" tint="0.34998626667073579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CAFD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0" applyFont="1" applyAlignment="1">
      <alignment vertical="center"/>
    </xf>
    <xf numFmtId="14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164" fontId="7" fillId="0" borderId="0" xfId="0" applyNumberFormat="1" applyFont="1"/>
    <xf numFmtId="0" fontId="6" fillId="0" borderId="0" xfId="0" applyFont="1"/>
    <xf numFmtId="164" fontId="8" fillId="0" borderId="0" xfId="0" applyNumberFormat="1" applyFont="1"/>
    <xf numFmtId="164" fontId="7" fillId="0" borderId="0" xfId="0" applyNumberFormat="1" applyFont="1" applyAlignment="1">
      <alignment vertical="center"/>
    </xf>
    <xf numFmtId="9" fontId="7" fillId="0" borderId="0" xfId="1" applyFont="1" applyFill="1"/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 wrapText="1"/>
    </xf>
    <xf numFmtId="0" fontId="9" fillId="0" borderId="0" xfId="0" applyFont="1"/>
    <xf numFmtId="164" fontId="9" fillId="0" borderId="0" xfId="0" applyNumberFormat="1" applyFont="1"/>
    <xf numFmtId="164" fontId="7" fillId="0" borderId="0" xfId="0" applyNumberFormat="1" applyFont="1" applyFill="1" applyAlignment="1">
      <alignment vertical="center"/>
    </xf>
    <xf numFmtId="14" fontId="7" fillId="0" borderId="0" xfId="0" applyNumberFormat="1" applyFont="1" applyAlignment="1">
      <alignment horizontal="left" indent="1"/>
    </xf>
    <xf numFmtId="0" fontId="9" fillId="0" borderId="0" xfId="0" applyFont="1" applyAlignment="1">
      <alignment horizontal="left" inden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3" fontId="0" fillId="0" borderId="0" xfId="0" applyNumberFormat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165" fontId="14" fillId="4" borderId="0" xfId="4" applyNumberFormat="1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166" fontId="14" fillId="5" borderId="0" xfId="4" applyNumberFormat="1" applyFont="1" applyFill="1" applyAlignment="1">
      <alignment horizontal="center" vertical="center"/>
    </xf>
    <xf numFmtId="165" fontId="14" fillId="5" borderId="0" xfId="4" applyNumberFormat="1" applyFont="1" applyFill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0" fillId="0" borderId="0" xfId="0" applyNumberFormat="1"/>
  </cellXfs>
  <cellStyles count="5">
    <cellStyle name="Обычный" xfId="0" builtinId="0"/>
    <cellStyle name="Обычный 2" xfId="3" xr:uid="{3EB14006-6F73-4D91-93B5-9810E08DBD8E}"/>
    <cellStyle name="Обычный_Лист1" xfId="2" xr:uid="{F988E781-4A90-4FB0-9B7B-B2E1EDF1B1A3}"/>
    <cellStyle name="Процентный" xfId="1" builtinId="5"/>
    <cellStyle name="Финансовый" xfId="4" builtinId="3"/>
  </cellStyles>
  <dxfs count="21">
    <dxf>
      <numFmt numFmtId="165" formatCode="_-* #,##0_-;\-* #,##0_-;_-* &quot;-&quot;??_-;_-@_-"/>
    </dxf>
    <dxf>
      <numFmt numFmtId="165" formatCode="_-* #,##0_-;\-* #,##0_-;_-* &quot;-&quot;??_-;_-@_-"/>
    </dxf>
    <dxf>
      <numFmt numFmtId="3" formatCode="#,##0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04"/>
        <scheme val="minor"/>
      </font>
      <numFmt numFmtId="164" formatCode="#,##0.00\ [$€-1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04"/>
        <scheme val="minor"/>
      </font>
      <numFmt numFmtId="19" formatCode="dd/mm/yyyy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04"/>
        <scheme val="minor"/>
      </font>
      <numFmt numFmtId="164" formatCode="#,##0.00\ [$€-1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04"/>
        <scheme val="minor"/>
      </font>
      <numFmt numFmtId="164" formatCode="#,##0.00\ [$€-1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04"/>
        <scheme val="minor"/>
      </font>
      <numFmt numFmtId="164" formatCode="#,##0.00\ [$€-1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04"/>
        <scheme val="minor"/>
      </font>
      <numFmt numFmtId="19" formatCode="dd/mm/yyyy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04"/>
        <scheme val="minor"/>
      </font>
      <numFmt numFmtId="19" formatCode="dd/mm/yyyy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04"/>
        <scheme val="minor"/>
      </font>
      <numFmt numFmtId="19" formatCode="dd/mm/yyyy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04"/>
        <scheme val="minor"/>
      </font>
      <numFmt numFmtId="19" formatCode="dd/mm/yyyy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04"/>
        <scheme val="minor"/>
      </font>
      <numFmt numFmtId="19" formatCode="dd/mm/yyyy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04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04"/>
        <scheme val="minor"/>
      </font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0066FF"/>
      <color rgb="FF7CAFDE"/>
      <color rgb="FFE7FFFF"/>
      <color rgb="FFCCFFFF"/>
      <color rgb="FFFFFFCC"/>
      <color rgb="FFDE0000"/>
      <color rgb="FF003300"/>
      <color rgb="FF478FD1"/>
      <color rgb="FFCCFFCC"/>
      <color rgb="FF77C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calcChain" Target="calcChain.xml"/><Relationship Id="rId5" Type="http://schemas.microsoft.com/office/2007/relationships/slicerCache" Target="slicerCaches/slicerCache1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[mobili-dashboard.xlsx]Сводные!Продажи по месяцам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600" b="0">
                <a:solidFill>
                  <a:schemeClr val="tx1">
                    <a:lumMod val="75000"/>
                    <a:lumOff val="25000"/>
                  </a:schemeClr>
                </a:solidFill>
              </a:rPr>
              <a:t>Динамика продаж по месяцам, тыс. Евро</a:t>
            </a:r>
          </a:p>
        </c:rich>
      </c:tx>
      <c:layout>
        <c:manualLayout>
          <c:xMode val="edge"/>
          <c:yMode val="edge"/>
          <c:x val="0.33888167847340989"/>
          <c:y val="2.0542836327362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2.7088733473533199E-2"/>
          <c:y val="0.13029257372240233"/>
          <c:w val="0.95420378353326962"/>
          <c:h val="0.72320029849210032"/>
        </c:manualLayout>
      </c:layout>
      <c:lineChart>
        <c:grouping val="standard"/>
        <c:varyColors val="0"/>
        <c:ser>
          <c:idx val="0"/>
          <c:order val="0"/>
          <c:tx>
            <c:strRef>
              <c:f>Сводные!$B$3</c:f>
              <c:strCache>
                <c:ptCount val="1"/>
                <c:pt idx="0">
                  <c:v>Итог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Сводные!$A$4:$A$16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Сводные!$B$4:$B$16</c:f>
              <c:numCache>
                <c:formatCode>_-* #\ ##0_-;\-* #\ ##0_-;_-* "-"??_-;_-@_-</c:formatCode>
                <c:ptCount val="12"/>
                <c:pt idx="0">
                  <c:v>22663.074000000001</c:v>
                </c:pt>
                <c:pt idx="1">
                  <c:v>4324.51</c:v>
                </c:pt>
                <c:pt idx="2">
                  <c:v>57190.135999999999</c:v>
                </c:pt>
                <c:pt idx="3">
                  <c:v>53069.924000000006</c:v>
                </c:pt>
                <c:pt idx="4">
                  <c:v>74190.100000000006</c:v>
                </c:pt>
                <c:pt idx="5">
                  <c:v>110032.60779999998</c:v>
                </c:pt>
                <c:pt idx="6">
                  <c:v>30660.940000000002</c:v>
                </c:pt>
                <c:pt idx="7">
                  <c:v>10111.720000000001</c:v>
                </c:pt>
                <c:pt idx="8">
                  <c:v>47178.929999999993</c:v>
                </c:pt>
                <c:pt idx="9">
                  <c:v>231540.1519290696</c:v>
                </c:pt>
                <c:pt idx="10">
                  <c:v>60930.55</c:v>
                </c:pt>
                <c:pt idx="11">
                  <c:v>72872.44719665272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A8-4B0F-AB1D-42A24DBB2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5302240"/>
        <c:axId val="2113048528"/>
      </c:lineChart>
      <c:catAx>
        <c:axId val="203530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3048528"/>
        <c:crossesAt val="0"/>
        <c:auto val="1"/>
        <c:lblAlgn val="ctr"/>
        <c:lblOffset val="100"/>
        <c:noMultiLvlLbl val="0"/>
      </c:catAx>
      <c:valAx>
        <c:axId val="211304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5302240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CCFFC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[mobili-dashboard.xlsx]Сводные!Продажи по видам</c:name>
    <c:fmtId val="7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0938249773176937"/>
          <c:y val="5.8906572573572076E-2"/>
          <c:w val="0.62928715366385091"/>
          <c:h val="0.709240191158470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Сводные!$E$3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Сводные!$D$4:$D$11</c:f>
              <c:strCache>
                <c:ptCount val="7"/>
                <c:pt idx="0">
                  <c:v>Ванная</c:v>
                </c:pt>
                <c:pt idx="1">
                  <c:v>Гардеробные</c:v>
                </c:pt>
                <c:pt idx="2">
                  <c:v>Гостиная</c:v>
                </c:pt>
                <c:pt idx="3">
                  <c:v>Кухня</c:v>
                </c:pt>
                <c:pt idx="4">
                  <c:v>Мягкая</c:v>
                </c:pt>
                <c:pt idx="5">
                  <c:v>Прихожие</c:v>
                </c:pt>
                <c:pt idx="6">
                  <c:v>Спальни</c:v>
                </c:pt>
              </c:strCache>
            </c:strRef>
          </c:cat>
          <c:val>
            <c:numRef>
              <c:f>Сводные!$E$4:$E$11</c:f>
              <c:numCache>
                <c:formatCode>General</c:formatCode>
                <c:ptCount val="7"/>
                <c:pt idx="0">
                  <c:v>100880.22796094838</c:v>
                </c:pt>
                <c:pt idx="1">
                  <c:v>10346</c:v>
                </c:pt>
                <c:pt idx="2">
                  <c:v>90812.800000000003</c:v>
                </c:pt>
                <c:pt idx="3">
                  <c:v>353574.54896477389</c:v>
                </c:pt>
                <c:pt idx="4">
                  <c:v>67519.87</c:v>
                </c:pt>
                <c:pt idx="5">
                  <c:v>15599.7</c:v>
                </c:pt>
                <c:pt idx="6">
                  <c:v>136031.94399999999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8-46FE-A974-3BC3989FB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0633952"/>
        <c:axId val="2113053104"/>
      </c:barChart>
      <c:catAx>
        <c:axId val="150633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3053104"/>
        <c:crosses val="autoZero"/>
        <c:auto val="1"/>
        <c:lblAlgn val="ctr"/>
        <c:lblOffset val="100"/>
        <c:noMultiLvlLbl val="0"/>
      </c:catAx>
      <c:valAx>
        <c:axId val="2113053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0633952"/>
        <c:crosses val="autoZero"/>
        <c:crossBetween val="between"/>
        <c:minorUnit val="50000"/>
        <c:dispUnits>
          <c:builtInUnit val="thousands"/>
          <c:dispUnitsLbl>
            <c:layout>
              <c:manualLayout>
                <c:xMode val="edge"/>
                <c:yMode val="edge"/>
                <c:x val="0.87448700628192721"/>
                <c:y val="0.80182306585054808"/>
              </c:manualLayout>
            </c:layout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[mobili-dashboard.xlsx]Сводные!Продажи по менеджерам</c:name>
    <c:fmtId val="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600">
                <a:solidFill>
                  <a:schemeClr val="tx1">
                    <a:lumMod val="75000"/>
                    <a:lumOff val="25000"/>
                  </a:schemeClr>
                </a:solidFill>
              </a:rPr>
              <a:t>Продажи</a:t>
            </a:r>
            <a:r>
              <a:rPr lang="ru-RU" sz="16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менеджеров</a:t>
            </a:r>
            <a:endParaRPr lang="ru-RU" sz="1600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>
        <c:manualLayout>
          <c:xMode val="edge"/>
          <c:yMode val="edge"/>
          <c:x val="0.37666237679713543"/>
          <c:y val="1.2796430086461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0066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8.8494668486194944E-2"/>
          <c:y val="0.20896552729251275"/>
          <c:w val="0.89270187724103411"/>
          <c:h val="0.606473353399005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Сводные!$H$3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rgbClr val="0066FF"/>
            </a:solidFill>
            <a:ln>
              <a:noFill/>
            </a:ln>
            <a:effectLst/>
          </c:spPr>
          <c:invertIfNegative val="0"/>
          <c:cat>
            <c:strRef>
              <c:f>Сводные!$G$4:$G$9</c:f>
              <c:strCache>
                <c:ptCount val="5"/>
                <c:pt idx="0">
                  <c:v>Горбунков</c:v>
                </c:pt>
                <c:pt idx="1">
                  <c:v>Козодоев</c:v>
                </c:pt>
                <c:pt idx="2">
                  <c:v>Милославский</c:v>
                </c:pt>
                <c:pt idx="3">
                  <c:v>Якин</c:v>
                </c:pt>
                <c:pt idx="4">
                  <c:v>Эллочка</c:v>
                </c:pt>
              </c:strCache>
            </c:strRef>
          </c:cat>
          <c:val>
            <c:numRef>
              <c:f>Сводные!$H$4:$H$9</c:f>
              <c:numCache>
                <c:formatCode>#,##0</c:formatCode>
                <c:ptCount val="5"/>
                <c:pt idx="0">
                  <c:v>188958.83771428574</c:v>
                </c:pt>
                <c:pt idx="1">
                  <c:v>187181.9120147838</c:v>
                </c:pt>
                <c:pt idx="2">
                  <c:v>158643.59</c:v>
                </c:pt>
                <c:pt idx="3">
                  <c:v>95952.373235704319</c:v>
                </c:pt>
                <c:pt idx="4">
                  <c:v>144028.37796094842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E-49C7-828A-51F7939A0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5679503"/>
        <c:axId val="1795347311"/>
      </c:barChart>
      <c:catAx>
        <c:axId val="1445679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95347311"/>
        <c:crosses val="autoZero"/>
        <c:auto val="1"/>
        <c:lblAlgn val="ctr"/>
        <c:lblOffset val="100"/>
        <c:noMultiLvlLbl val="0"/>
      </c:catAx>
      <c:valAx>
        <c:axId val="1795347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45679503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358140</xdr:colOff>
      <xdr:row>5</xdr:row>
      <xdr:rowOff>121921</xdr:rowOff>
    </xdr:from>
    <xdr:to>
      <xdr:col>17</xdr:col>
      <xdr:colOff>0</xdr:colOff>
      <xdr:row>22</xdr:row>
      <xdr:rowOff>130580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0C131BF-48EA-4069-938A-8A723BB524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</xdr:colOff>
      <xdr:row>5</xdr:row>
      <xdr:rowOff>121920</xdr:rowOff>
    </xdr:from>
    <xdr:to>
      <xdr:col>3</xdr:col>
      <xdr:colOff>0</xdr:colOff>
      <xdr:row>15</xdr:row>
      <xdr:rowOff>88053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Менеджер">
              <a:extLst>
                <a:ext uri="{FF2B5EF4-FFF2-40B4-BE49-F238E27FC236}">
                  <a16:creationId xmlns:a16="http://schemas.microsoft.com/office/drawing/2014/main" id="{67EB13D7-007A-489E-A78D-76EB3F076DB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енеджер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720" y="518160"/>
              <a:ext cx="1432560" cy="17373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>
    <xdr:from>
      <xdr:col>13</xdr:col>
      <xdr:colOff>175260</xdr:colOff>
      <xdr:row>23</xdr:row>
      <xdr:rowOff>8466</xdr:rowOff>
    </xdr:from>
    <xdr:to>
      <xdr:col>19</xdr:col>
      <xdr:colOff>406400</xdr:colOff>
      <xdr:row>31</xdr:row>
      <xdr:rowOff>101600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FB53F4B9-7B53-4C58-A57D-2324E2585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49162</xdr:colOff>
      <xdr:row>15</xdr:row>
      <xdr:rowOff>162014</xdr:rowOff>
    </xdr:from>
    <xdr:to>
      <xdr:col>2</xdr:col>
      <xdr:colOff>860323</xdr:colOff>
      <xdr:row>31</xdr:row>
      <xdr:rowOff>109521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Месяц">
              <a:extLst>
                <a:ext uri="{FF2B5EF4-FFF2-40B4-BE49-F238E27FC236}">
                  <a16:creationId xmlns:a16="http://schemas.microsoft.com/office/drawing/2014/main" id="{547B5747-5894-4BB8-84E9-A8506FCF15E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есяц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1097" y="2734788"/>
              <a:ext cx="1417484" cy="283163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17</xdr:col>
      <xdr:colOff>101600</xdr:colOff>
      <xdr:row>6</xdr:row>
      <xdr:rowOff>11008</xdr:rowOff>
    </xdr:from>
    <xdr:to>
      <xdr:col>19</xdr:col>
      <xdr:colOff>429260</xdr:colOff>
      <xdr:row>22</xdr:row>
      <xdr:rowOff>135467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Фабрика">
              <a:extLst>
                <a:ext uri="{FF2B5EF4-FFF2-40B4-BE49-F238E27FC236}">
                  <a16:creationId xmlns:a16="http://schemas.microsoft.com/office/drawing/2014/main" id="{17009B39-B07A-48DB-95B4-DEEC9A8C6F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Фабрика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45800" y="900008"/>
              <a:ext cx="1546860" cy="31047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>
    <xdr:from>
      <xdr:col>3</xdr:col>
      <xdr:colOff>346364</xdr:colOff>
      <xdr:row>23</xdr:row>
      <xdr:rowOff>8313</xdr:rowOff>
    </xdr:from>
    <xdr:to>
      <xdr:col>13</xdr:col>
      <xdr:colOff>60960</xdr:colOff>
      <xdr:row>31</xdr:row>
      <xdr:rowOff>91440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E2657D7C-0B37-4FF1-A81C-758DD1665B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лександр" refreshedDate="45796.78474722222" createdVersion="6" refreshedVersion="6" minRefreshableVersion="3" recordCount="187" xr:uid="{E78F45EF-FC67-4B32-B06F-92968DAEC65A}">
  <cacheSource type="worksheet">
    <worksheetSource name="Таблица1"/>
  </cacheSource>
  <cacheFields count="12">
    <cacheField name="Дата" numFmtId="14">
      <sharedItems containsNonDate="0" containsDate="1" containsString="0" containsBlank="1" minDate="2012-01-07T00:00:00" maxDate="2012-12-29T00:00:00"/>
    </cacheField>
    <cacheField name="Месяц" numFmtId="14">
      <sharedItems containsBlank="1" count="13">
        <s v="Январь"/>
        <s v="Февраль"/>
        <s v="Март"/>
        <s v="Апрель"/>
        <s v="Май"/>
        <s v="Июнь"/>
        <s v="Июль"/>
        <s v="Август"/>
        <s v="Сентябрь"/>
        <s v="Октябрь"/>
        <s v="Ноябрь"/>
        <s v="Декабрь"/>
        <m u="1"/>
      </sharedItems>
    </cacheField>
    <cacheField name="Менеджер" numFmtId="14">
      <sharedItems containsBlank="1" count="7">
        <s v="Горбунков"/>
        <s v="Милославский"/>
        <s v="Якин"/>
        <s v="Козодоев"/>
        <s v="Эллочка"/>
        <m u="1"/>
        <s v="Лерочка" u="1"/>
      </sharedItems>
    </cacheField>
    <cacheField name="Фабрика" numFmtId="14">
      <sharedItems containsBlank="1" count="16">
        <s v="Agora"/>
        <s v="Friulimport"/>
        <s v="Diva"/>
        <s v="Varaschin"/>
        <s v="Ginova"/>
        <s v="Veneran"/>
        <s v="Oldline"/>
        <s v="Maior"/>
        <s v="FM Bottega"/>
        <s v="Quaia"/>
        <s v="Rigo Salotti"/>
        <s v="Presotto"/>
        <s v="Euro90"/>
        <s v="BTC"/>
        <s v="Santa Lucia"/>
        <m u="1"/>
      </sharedItems>
    </cacheField>
    <cacheField name="Вид мебели" numFmtId="14">
      <sharedItems containsBlank="1" count="8">
        <s v="Ванная"/>
        <s v="Мягкая"/>
        <s v="Кухня"/>
        <s v="Спальни"/>
        <s v="Прихожие"/>
        <s v="Гостиная"/>
        <s v="Гардеробные"/>
        <m u="1"/>
      </sharedItems>
    </cacheField>
    <cacheField name="Стиль" numFmtId="14">
      <sharedItems/>
    </cacheField>
    <cacheField name="Rif" numFmtId="0">
      <sharedItems containsBlank="1"/>
    </cacheField>
    <cacheField name="Конечная цена для клиента" numFmtId="164">
      <sharedItems containsSemiMixedTypes="0" containsString="0" containsNumber="1" minValue="0" maxValue="40847.08"/>
    </cacheField>
    <cacheField name="К оплате поставщику" numFmtId="164">
      <sharedItems containsSemiMixedTypes="0" containsString="0" containsNumber="1" minValue="0" maxValue="13974.93"/>
    </cacheField>
    <cacheField name="Транспорт и таможня" numFmtId="164">
      <sharedItems containsSemiMixedTypes="0" containsString="0" containsNumber="1" minValue="0" maxValue="6287.4"/>
    </cacheField>
    <cacheField name="Ценовая кат" numFmtId="14">
      <sharedItems containsBlank="1"/>
    </cacheField>
    <cacheField name="Прибыль факт" numFmtId="164">
      <sharedItems containsString="0" containsBlank="1" containsNumber="1" minValue="-4133.82" maxValue="21606.15"/>
    </cacheField>
  </cacheFields>
  <extLst>
    <ext xmlns:x14="http://schemas.microsoft.com/office/spreadsheetml/2009/9/main" uri="{725AE2AE-9491-48be-B2B4-4EB974FC3084}">
      <x14:pivotCacheDefinition pivotCacheId="182451416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7">
  <r>
    <d v="2012-01-07T00:00:00"/>
    <x v="0"/>
    <x v="0"/>
    <x v="0"/>
    <x v="0"/>
    <s v="Этник"/>
    <s v="счет 41, accessori Barocca"/>
    <n v="356.52400000000006"/>
    <n v="259"/>
    <n v="43.32"/>
    <s v="Средняя"/>
    <n v="54.204000000000057"/>
  </r>
  <r>
    <d v="2012-01-07T00:00:00"/>
    <x v="0"/>
    <x v="0"/>
    <x v="0"/>
    <x v="0"/>
    <s v="Этник"/>
    <s v="счет 68, bagno"/>
    <n v="4123.3999999999996"/>
    <n v="2044.65"/>
    <n v="817.81333333333328"/>
    <s v="Средняя"/>
    <n v="1260.9366666666663"/>
  </r>
  <r>
    <d v="2012-01-10T00:00:00"/>
    <x v="0"/>
    <x v="1"/>
    <x v="1"/>
    <x v="1"/>
    <s v="Современный"/>
    <s v="счет 227, диван Auckland"/>
    <n v="8518.48"/>
    <n v="2412.56"/>
    <n v="2885.49"/>
    <s v="Высокая"/>
    <n v="3220.4300000000003"/>
  </r>
  <r>
    <d v="2012-01-15T00:00:00"/>
    <x v="0"/>
    <x v="2"/>
    <x v="2"/>
    <x v="2"/>
    <s v="Современный"/>
    <s v="Anakhina cucina"/>
    <n v="7110.34"/>
    <n v="2784.47"/>
    <n v="2235.5100000000002"/>
    <s v="Эконом"/>
    <n v="2090.3600000000006"/>
  </r>
  <r>
    <m/>
    <x v="0"/>
    <x v="3"/>
    <x v="3"/>
    <x v="2"/>
    <s v="Классика"/>
    <m/>
    <n v="0"/>
    <n v="0"/>
    <n v="0"/>
    <m/>
    <n v="0"/>
  </r>
  <r>
    <d v="2012-01-25T00:00:00"/>
    <x v="0"/>
    <x v="0"/>
    <x v="0"/>
    <x v="0"/>
    <s v="Этник"/>
    <s v="счет 65, bagno"/>
    <n v="2554.33"/>
    <n v="1357.23"/>
    <n v="886.5"/>
    <s v="Высокая"/>
    <n v="310.59999999999991"/>
  </r>
  <r>
    <m/>
    <x v="0"/>
    <x v="4"/>
    <x v="3"/>
    <x v="2"/>
    <s v="Классика"/>
    <m/>
    <n v="0"/>
    <n v="0"/>
    <n v="0"/>
    <m/>
    <m/>
  </r>
  <r>
    <d v="2012-02-10T00:00:00"/>
    <x v="1"/>
    <x v="0"/>
    <x v="0"/>
    <x v="0"/>
    <s v="Этник"/>
    <s v="счет 68, top"/>
    <n v="2864.21"/>
    <n v="1509"/>
    <n v="9.8086807538549419"/>
    <s v="Высокая"/>
    <n v="1345.401319246145"/>
  </r>
  <r>
    <m/>
    <x v="1"/>
    <x v="2"/>
    <x v="3"/>
    <x v="2"/>
    <s v="Классика"/>
    <m/>
    <n v="0"/>
    <n v="0"/>
    <n v="0"/>
    <m/>
    <n v="0"/>
  </r>
  <r>
    <m/>
    <x v="1"/>
    <x v="3"/>
    <x v="3"/>
    <x v="2"/>
    <s v="Классика"/>
    <m/>
    <n v="0"/>
    <n v="0"/>
    <n v="0"/>
    <m/>
    <n v="0"/>
  </r>
  <r>
    <m/>
    <x v="1"/>
    <x v="4"/>
    <x v="3"/>
    <x v="2"/>
    <s v="Классика"/>
    <m/>
    <n v="0"/>
    <n v="0"/>
    <n v="0"/>
    <m/>
    <n v="0"/>
  </r>
  <r>
    <m/>
    <x v="1"/>
    <x v="1"/>
    <x v="3"/>
    <x v="2"/>
    <s v="Классика"/>
    <m/>
    <n v="0"/>
    <n v="0"/>
    <n v="0"/>
    <m/>
    <n v="0"/>
  </r>
  <r>
    <d v="2012-02-13T00:00:00"/>
    <x v="1"/>
    <x v="0"/>
    <x v="0"/>
    <x v="0"/>
    <s v="Этник"/>
    <s v="счет 64, 69 - corteccia, светильники"/>
    <n v="1460.3"/>
    <n v="698"/>
    <n v="95.5"/>
    <s v="Высокая"/>
    <n v="666.8"/>
  </r>
  <r>
    <d v="2012-03-06T00:00:00"/>
    <x v="2"/>
    <x v="0"/>
    <x v="0"/>
    <x v="0"/>
    <s v="Этник"/>
    <s v="счет 78, Дембицкая Валентина Ивановна"/>
    <n v="4456"/>
    <n v="1223.0899999999999"/>
    <n v="98.086807538549408"/>
    <s v="Высокая"/>
    <n v="3134.8231924614506"/>
  </r>
  <r>
    <d v="2012-03-07T00:00:00"/>
    <x v="2"/>
    <x v="3"/>
    <x v="1"/>
    <x v="1"/>
    <s v="Современный"/>
    <s v="mostra SPb."/>
    <n v="4445.72"/>
    <n v="1837.85"/>
    <n v="2211.6"/>
    <s v="Высокая"/>
    <n v="396.27000000000044"/>
  </r>
  <r>
    <d v="2012-03-07T00:00:00"/>
    <x v="2"/>
    <x v="4"/>
    <x v="3"/>
    <x v="3"/>
    <s v="Современный"/>
    <s v="mostra SPb."/>
    <n v="4050.04"/>
    <n v="2445.31"/>
    <n v="1190"/>
    <s v="Средняя"/>
    <n v="414.73"/>
  </r>
  <r>
    <d v="2012-03-07T00:00:00"/>
    <x v="2"/>
    <x v="0"/>
    <x v="0"/>
    <x v="0"/>
    <s v="Этник"/>
    <s v="счет 80, mostra SPb. (corteccia)"/>
    <n v="771.36"/>
    <n v="425.82"/>
    <n v="207.18285789266503"/>
    <s v="Высокая"/>
    <n v="138.35714210733499"/>
  </r>
  <r>
    <d v="2012-03-07T00:00:00"/>
    <x v="2"/>
    <x v="0"/>
    <x v="0"/>
    <x v="0"/>
    <s v="Этник"/>
    <s v="счет 74, mostra SPb. (bagno pelle)"/>
    <n v="2010.03"/>
    <n v="1006.42"/>
    <n v="489.67397454402311"/>
    <s v="Высокая"/>
    <n v="513.93602545597696"/>
  </r>
  <r>
    <d v="2012-03-07T00:00:00"/>
    <x v="2"/>
    <x v="0"/>
    <x v="0"/>
    <x v="0"/>
    <s v="Этник"/>
    <s v="счет 75, mostra SPb.(bagno nero tondo)"/>
    <n v="2084.17"/>
    <n v="1150.74"/>
    <n v="559.89291694003418"/>
    <s v="Высокая"/>
    <n v="373.53708305996588"/>
  </r>
  <r>
    <d v="2012-03-07T00:00:00"/>
    <x v="2"/>
    <x v="0"/>
    <x v="0"/>
    <x v="0"/>
    <s v="Этник"/>
    <s v="счет 76, mostra SPb. (bagno rosso)"/>
    <n v="2514.83"/>
    <n v="1379.94"/>
    <n v="671.41025062327776"/>
    <s v="Высокая"/>
    <n v="463.47974937672211"/>
  </r>
  <r>
    <d v="2012-03-07T00:00:00"/>
    <x v="2"/>
    <x v="3"/>
    <x v="2"/>
    <x v="2"/>
    <s v="Современный"/>
    <s v="mostra SPb. cucina 3"/>
    <n v="7531.9859999999999"/>
    <n v="3443.4300000000003"/>
    <n v="2841.42"/>
    <s v="Эконом"/>
    <n v="1247.1359999999995"/>
  </r>
  <r>
    <d v="2012-03-21T00:00:00"/>
    <x v="2"/>
    <x v="2"/>
    <x v="0"/>
    <x v="0"/>
    <s v="Этник"/>
    <s v="счет 88, bagno"/>
    <n v="3376.8"/>
    <n v="1070.3699999999999"/>
    <n v="387.61"/>
    <s v="Высокая"/>
    <n v="1918.8200000000002"/>
  </r>
  <r>
    <d v="2012-03-22T00:00:00"/>
    <x v="2"/>
    <x v="2"/>
    <x v="4"/>
    <x v="2"/>
    <s v="Классика"/>
    <m/>
    <n v="7686"/>
    <n v="3547"/>
    <n v="1390"/>
    <s v="Эконом"/>
    <n v="2749"/>
  </r>
  <r>
    <d v="2012-03-27T00:00:00"/>
    <x v="2"/>
    <x v="2"/>
    <x v="0"/>
    <x v="0"/>
    <s v="Этник"/>
    <s v="счет 86, Guzel bagno (arch. Masha)"/>
    <n v="3945"/>
    <n v="1061.23"/>
    <n v="196.17361507709882"/>
    <s v="Высокая"/>
    <n v="2687.5963849229011"/>
  </r>
  <r>
    <d v="2012-03-28T00:00:00"/>
    <x v="2"/>
    <x v="3"/>
    <x v="2"/>
    <x v="2"/>
    <s v="Современный"/>
    <s v="cucina CONSEGNA 37"/>
    <n v="3913.74"/>
    <n v="3994.48"/>
    <n v="4053.08"/>
    <s v="Эконом"/>
    <n v="-4133.82"/>
  </r>
  <r>
    <d v="2012-03-28T00:00:00"/>
    <x v="2"/>
    <x v="4"/>
    <x v="1"/>
    <x v="1"/>
    <s v="Современный"/>
    <s v="divano"/>
    <n v="3246.64"/>
    <n v="2166.64"/>
    <n v="1930.4508474576269"/>
    <s v="Высокая"/>
    <n v="-850.45084745762688"/>
  </r>
  <r>
    <m/>
    <x v="2"/>
    <x v="1"/>
    <x v="3"/>
    <x v="2"/>
    <s v="Классика"/>
    <m/>
    <n v="0"/>
    <n v="0"/>
    <n v="0"/>
    <m/>
    <n v="0"/>
  </r>
  <r>
    <d v="2012-03-29T00:00:00"/>
    <x v="2"/>
    <x v="0"/>
    <x v="0"/>
    <x v="0"/>
    <s v="Этник"/>
    <s v="счет 87, Тенденца №53"/>
    <n v="1354.82"/>
    <n v="646.52"/>
    <n v="196.17361507709882"/>
    <s v="Высокая"/>
    <n v="512.12638492290114"/>
  </r>
  <r>
    <d v="2012-04-17T00:00:00"/>
    <x v="3"/>
    <x v="3"/>
    <x v="2"/>
    <x v="2"/>
    <s v="Современный"/>
    <s v="CONSEGNA 4"/>
    <n v="11737"/>
    <n v="3137.8415624999998"/>
    <n v="3278.23"/>
    <s v="Эконом"/>
    <n v="5320.9284375000007"/>
  </r>
  <r>
    <d v="2012-04-18T00:00:00"/>
    <x v="3"/>
    <x v="2"/>
    <x v="0"/>
    <x v="4"/>
    <s v="Этник"/>
    <s v="счет 101, bagno"/>
    <n v="3352.31"/>
    <n v="1103.8"/>
    <n v="353.11250713877786"/>
    <s v="Высокая"/>
    <n v="1895.3974928612224"/>
  </r>
  <r>
    <d v="2012-04-20T00:00:00"/>
    <x v="3"/>
    <x v="0"/>
    <x v="0"/>
    <x v="0"/>
    <s v="Этник"/>
    <s v="счет 102, заказ 90"/>
    <n v="4567.2700000000004"/>
    <n v="2178.69"/>
    <n v="387.61"/>
    <s v="Высокая"/>
    <n v="2000.9700000000003"/>
  </r>
  <r>
    <d v="2012-04-20T00:00:00"/>
    <x v="3"/>
    <x v="0"/>
    <x v="0"/>
    <x v="0"/>
    <s v="Этник"/>
    <s v="счет 103, bagno 1"/>
    <n v="3008.61"/>
    <n v="776.57"/>
    <n v="186.36493432324389"/>
    <s v="Высокая"/>
    <n v="2045.675065676756"/>
  </r>
  <r>
    <d v="2012-04-20T00:00:00"/>
    <x v="3"/>
    <x v="0"/>
    <x v="0"/>
    <x v="0"/>
    <s v="Этник"/>
    <s v="счет 104, bagno 2"/>
    <n v="1369.53"/>
    <n v="374.76"/>
    <n v="98.086807538549408"/>
    <s v="Высокая"/>
    <n v="896.68319246145052"/>
  </r>
  <r>
    <d v="2012-04-23T00:00:00"/>
    <x v="3"/>
    <x v="4"/>
    <x v="3"/>
    <x v="3"/>
    <s v="Современный"/>
    <s v="ООО Контур (столик и 2 стула)"/>
    <n v="1156"/>
    <n v="306"/>
    <n v="178.07692307692309"/>
    <s v="Средняя"/>
    <n v="671.92307692307691"/>
  </r>
  <r>
    <d v="2012-04-25T00:00:00"/>
    <x v="3"/>
    <x v="4"/>
    <x v="3"/>
    <x v="3"/>
    <s v="Современный"/>
    <s v="стулья Kresus"/>
    <n v="10203.01"/>
    <n v="5040"/>
    <n v="3917.6923076923076"/>
    <s v="Средняя"/>
    <n v="1245.3176923076926"/>
  </r>
  <r>
    <d v="2012-04-28T00:00:00"/>
    <x v="3"/>
    <x v="3"/>
    <x v="1"/>
    <x v="1"/>
    <s v="Современный"/>
    <s v="диван"/>
    <n v="4555.4399999999996"/>
    <n v="1004.88"/>
    <n v="1419.4491525423732"/>
    <s v="Высокая"/>
    <n v="2131.1108474576263"/>
  </r>
  <r>
    <d v="2012-04-28T00:00:00"/>
    <x v="3"/>
    <x v="4"/>
    <x v="3"/>
    <x v="3"/>
    <s v="Современный"/>
    <s v="буазери"/>
    <n v="2288.5509999999999"/>
    <n v="807.85"/>
    <n v="253.85"/>
    <s v="Средняя"/>
    <n v="1226.8510000000001"/>
  </r>
  <r>
    <d v="2012-04-28T00:00:00"/>
    <x v="3"/>
    <x v="4"/>
    <x v="5"/>
    <x v="3"/>
    <s v="Современный"/>
    <s v="кровать"/>
    <n v="10373.792999999998"/>
    <n v="3966.65"/>
    <n v="1258.1400000000001"/>
    <s v="Высокая"/>
    <n v="5149.0029999999979"/>
  </r>
  <r>
    <d v="2012-04-28T00:00:00"/>
    <x v="3"/>
    <x v="0"/>
    <x v="0"/>
    <x v="0"/>
    <s v="Этник"/>
    <s v="счет 94, зеркало"/>
    <n v="458.41"/>
    <n v="141.53099999999998"/>
    <n v="15.203455168475157"/>
    <s v="Высокая"/>
    <n v="301.67554483152486"/>
  </r>
  <r>
    <m/>
    <x v="3"/>
    <x v="1"/>
    <x v="3"/>
    <x v="2"/>
    <s v="Классика"/>
    <m/>
    <n v="0"/>
    <n v="0"/>
    <n v="0"/>
    <m/>
    <m/>
  </r>
  <r>
    <d v="2012-05-16T00:00:00"/>
    <x v="4"/>
    <x v="3"/>
    <x v="2"/>
    <x v="2"/>
    <s v="Современный"/>
    <s v="кухня N38"/>
    <n v="10530.47"/>
    <n v="2357.7384999999999"/>
    <n v="2190.4948887683149"/>
    <s v="Эконом"/>
    <n v="5982.2366112316849"/>
  </r>
  <r>
    <d v="2012-05-16T00:00:00"/>
    <x v="4"/>
    <x v="0"/>
    <x v="0"/>
    <x v="2"/>
    <s v="Этник"/>
    <s v="счет 98, ванная"/>
    <n v="5347.17"/>
    <n v="1427.03"/>
    <n v="155.72"/>
    <s v="Высокая"/>
    <n v="3764.4200000000005"/>
  </r>
  <r>
    <d v="2012-05-16T00:00:00"/>
    <x v="4"/>
    <x v="2"/>
    <x v="3"/>
    <x v="3"/>
    <s v="Современный"/>
    <s v="Вороненко (Наташа, 4 стула)"/>
    <n v="2520.0100000000002"/>
    <n v="685.8"/>
    <n v="406.15"/>
    <s v="Средняя"/>
    <n v="1428.0600000000004"/>
  </r>
  <r>
    <d v="2012-05-18T00:00:00"/>
    <x v="4"/>
    <x v="0"/>
    <x v="0"/>
    <x v="0"/>
    <s v="Этник"/>
    <s v="счет 106, ванная"/>
    <n v="3359.3"/>
    <n v="1142.25"/>
    <n v="294.20999999999998"/>
    <s v="Высокая"/>
    <n v="1922.8400000000001"/>
  </r>
  <r>
    <d v="2012-05-21T00:00:00"/>
    <x v="4"/>
    <x v="3"/>
    <x v="2"/>
    <x v="2"/>
    <s v="Современный"/>
    <s v="Штрымова, замены"/>
    <n v="700"/>
    <n v="540.99"/>
    <n v="320"/>
    <s v="Эконом"/>
    <n v="-160.99"/>
  </r>
  <r>
    <d v="2012-05-21T00:00:00"/>
    <x v="4"/>
    <x v="4"/>
    <x v="5"/>
    <x v="3"/>
    <s v="Современный"/>
    <s v="спальня, счет 108"/>
    <n v="7974.3"/>
    <n v="3248.5"/>
    <n v="853.86"/>
    <s v="Высокая"/>
    <n v="3871.94"/>
  </r>
  <r>
    <d v="2012-05-25T00:00:00"/>
    <x v="4"/>
    <x v="3"/>
    <x v="2"/>
    <x v="2"/>
    <s v="Современный"/>
    <s v="счет 109, кухня"/>
    <n v="14559"/>
    <n v="4074.5440624999997"/>
    <n v="3316.54"/>
    <s v="Эконом"/>
    <n v="7167.9159375000008"/>
  </r>
  <r>
    <d v="2012-05-26T00:00:00"/>
    <x v="4"/>
    <x v="3"/>
    <x v="6"/>
    <x v="2"/>
    <s v="Современный"/>
    <s v="СТОЛ И СТУЛЬЯ rif. Ponomarev кухня Queen"/>
    <n v="26838.75"/>
    <n v="8419.91"/>
    <n v="6217"/>
    <s v="Высокая"/>
    <n v="12201.84"/>
  </r>
  <r>
    <d v="2012-05-29T00:00:00"/>
    <x v="4"/>
    <x v="4"/>
    <x v="0"/>
    <x v="0"/>
    <s v="Этник"/>
    <s v="счет 112, Фоминцев-2, детская ванная"/>
    <n v="2361.1"/>
    <n v="810.65"/>
    <n v="198.88875621890548"/>
    <s v="Высокая"/>
    <n v="1351.5612437810944"/>
  </r>
  <r>
    <m/>
    <x v="4"/>
    <x v="1"/>
    <x v="3"/>
    <x v="2"/>
    <s v="Классика"/>
    <m/>
    <n v="0"/>
    <n v="0"/>
    <n v="0"/>
    <m/>
    <m/>
  </r>
  <r>
    <d v="2012-06-06T00:00:00"/>
    <x v="5"/>
    <x v="3"/>
    <x v="2"/>
    <x v="2"/>
    <s v="Современный"/>
    <s v="счет 116 ordine 1 cliente cucina SC, Cons. 39"/>
    <n v="6988.25"/>
    <n v="2613.1507499999998"/>
    <n v="2990.32"/>
    <s v="Эконом"/>
    <n v="1384.77925"/>
  </r>
  <r>
    <d v="2012-06-07T00:00:00"/>
    <x v="5"/>
    <x v="0"/>
    <x v="7"/>
    <x v="2"/>
    <s v="Классика"/>
    <s v="счет 117 ordine 2 (Alternative-13) cucina Maior"/>
    <n v="8190.38"/>
    <n v="2972.6"/>
    <n v="3066.6966000000002"/>
    <s v="Эконом"/>
    <n v="2151.0834000000004"/>
  </r>
  <r>
    <d v="2012-06-08T00:00:00"/>
    <x v="5"/>
    <x v="1"/>
    <x v="8"/>
    <x v="5"/>
    <s v="Классика"/>
    <s v="счет 114 (стол, стулья)"/>
    <n v="6555.58"/>
    <n v="1694.7"/>
    <n v="883.5"/>
    <s v="Высокая"/>
    <n v="3977.38"/>
  </r>
  <r>
    <d v="2012-06-10T00:00:00"/>
    <x v="5"/>
    <x v="3"/>
    <x v="2"/>
    <x v="2"/>
    <s v="Современный"/>
    <s v="rif. London кухня SC"/>
    <n v="23553.337800000001"/>
    <n v="5101.4700749999993"/>
    <n v="2988"/>
    <s v="Эконом"/>
    <n v="15463.867725000004"/>
  </r>
  <r>
    <d v="2012-06-15T00:00:00"/>
    <x v="5"/>
    <x v="4"/>
    <x v="3"/>
    <x v="3"/>
    <s v="Современный"/>
    <s v="счет 122"/>
    <n v="11766.29"/>
    <n v="3693.6"/>
    <n v="1073.46"/>
    <s v="Средняя"/>
    <n v="6999.2300000000005"/>
  </r>
  <r>
    <d v="2012-06-15T00:00:00"/>
    <x v="5"/>
    <x v="4"/>
    <x v="5"/>
    <x v="3"/>
    <s v="Современный"/>
    <s v="счет 122"/>
    <n v="6617.78"/>
    <n v="2160"/>
    <n v="706.56"/>
    <s v="Высокая"/>
    <n v="3751.22"/>
  </r>
  <r>
    <d v="2012-06-15T00:00:00"/>
    <x v="5"/>
    <x v="3"/>
    <x v="2"/>
    <x v="2"/>
    <s v="Современный"/>
    <s v="счет 119, carico 25"/>
    <n v="8970.14"/>
    <n v="2246.9091250000001"/>
    <n v="2679.77"/>
    <s v="Эконом"/>
    <n v="4043.4608749999993"/>
  </r>
  <r>
    <d v="2012-06-15T00:00:00"/>
    <x v="5"/>
    <x v="0"/>
    <x v="0"/>
    <x v="0"/>
    <s v="Этник"/>
    <s v="счет 121"/>
    <n v="2896.19"/>
    <n v="745.23"/>
    <n v="126.36712437810947"/>
    <s v="Высокая"/>
    <n v="2024.5928756218905"/>
  </r>
  <r>
    <d v="2012-06-18T00:00:00"/>
    <x v="5"/>
    <x v="0"/>
    <x v="0"/>
    <x v="0"/>
    <s v="Этник"/>
    <s v="счет 118, заказ 146"/>
    <n v="2749.36"/>
    <n v="1311.5"/>
    <n v="138.72"/>
    <s v="Высокая"/>
    <n v="1299.1400000000001"/>
  </r>
  <r>
    <d v="2012-06-20T00:00:00"/>
    <x v="5"/>
    <x v="0"/>
    <x v="0"/>
    <x v="0"/>
    <s v="Этник"/>
    <s v="счет 125, Nadia - Gorki-2"/>
    <n v="2271.15"/>
    <n v="801.32"/>
    <n v="135.25"/>
    <s v="Высокая"/>
    <n v="1334.58"/>
  </r>
  <r>
    <d v="2012-06-20T00:00:00"/>
    <x v="5"/>
    <x v="0"/>
    <x v="0"/>
    <x v="0"/>
    <s v="Этник"/>
    <s v="счет 124, Nadia - Yakhroma"/>
    <n v="2794.55"/>
    <n v="1133.3599999999999"/>
    <n v="111.32"/>
    <s v="Высокая"/>
    <n v="1549.8700000000003"/>
  </r>
  <r>
    <d v="2012-06-22T00:00:00"/>
    <x v="5"/>
    <x v="4"/>
    <x v="5"/>
    <x v="3"/>
    <s v="Современный"/>
    <s v="счет 126"/>
    <n v="8107.2"/>
    <n v="2731.5"/>
    <n v="853.86"/>
    <s v="Высокая"/>
    <n v="4521.84"/>
  </r>
  <r>
    <d v="2012-06-22T00:00:00"/>
    <x v="5"/>
    <x v="2"/>
    <x v="3"/>
    <x v="3"/>
    <s v="Современный"/>
    <s v="счет 126"/>
    <n v="4142.7"/>
    <n v="774.9"/>
    <n v="564.96"/>
    <s v="Средняя"/>
    <n v="2802.8399999999997"/>
  </r>
  <r>
    <d v="2012-06-22T00:00:00"/>
    <x v="5"/>
    <x v="3"/>
    <x v="0"/>
    <x v="0"/>
    <s v="Этник"/>
    <s v="счет 127, заказ 158"/>
    <n v="1922.34"/>
    <n v="916.69"/>
    <n v="202.33"/>
    <s v="Высокая"/>
    <n v="803.31999999999982"/>
  </r>
  <r>
    <d v="2012-06-27T00:00:00"/>
    <x v="5"/>
    <x v="4"/>
    <x v="1"/>
    <x v="1"/>
    <s v="Современный"/>
    <s v="mostra SPb., divano Terminal"/>
    <n v="6071.89"/>
    <n v="2030.65"/>
    <n v="772.87341599999991"/>
    <s v="Высокая"/>
    <n v="3268.3665840000003"/>
  </r>
  <r>
    <d v="2012-06-27T00:00:00"/>
    <x v="5"/>
    <x v="0"/>
    <x v="3"/>
    <x v="3"/>
    <s v="Современный"/>
    <s v="счет 130 mostra SPb., tavolo, sedie"/>
    <n v="2272.1999999999998"/>
    <n v="1387.67"/>
    <n v="543.23"/>
    <s v="Средняя"/>
    <n v="341.29999999999973"/>
  </r>
  <r>
    <d v="2012-06-29T00:00:00"/>
    <x v="5"/>
    <x v="3"/>
    <x v="7"/>
    <x v="2"/>
    <s v="Классика"/>
    <s v="mostra SPb., cucina Serena"/>
    <n v="4163.2700000000004"/>
    <n v="2659.85"/>
    <n v="2300.0198"/>
    <s v="Эконом"/>
    <n v="-796.5997999999995"/>
  </r>
  <r>
    <d v="2012-07-04T00:00:00"/>
    <x v="6"/>
    <x v="2"/>
    <x v="7"/>
    <x v="2"/>
    <s v="Классика"/>
    <s v="mostra SPb., cucina Carmen"/>
    <n v="2853.2"/>
    <n v="1783.25"/>
    <n v="1697.6324"/>
    <s v="Эконом"/>
    <n v="-627.68240000000014"/>
  </r>
  <r>
    <m/>
    <x v="6"/>
    <x v="0"/>
    <x v="3"/>
    <x v="2"/>
    <s v="Классика"/>
    <m/>
    <n v="0"/>
    <n v="0"/>
    <n v="0"/>
    <m/>
    <n v="0"/>
  </r>
  <r>
    <m/>
    <x v="6"/>
    <x v="3"/>
    <x v="3"/>
    <x v="2"/>
    <s v="Классика"/>
    <m/>
    <n v="0"/>
    <n v="0"/>
    <n v="0"/>
    <m/>
    <n v="0"/>
  </r>
  <r>
    <m/>
    <x v="6"/>
    <x v="1"/>
    <x v="3"/>
    <x v="2"/>
    <s v="Классика"/>
    <m/>
    <n v="0"/>
    <n v="0"/>
    <n v="0"/>
    <m/>
    <n v="0"/>
  </r>
  <r>
    <d v="2012-07-05T00:00:00"/>
    <x v="6"/>
    <x v="4"/>
    <x v="5"/>
    <x v="6"/>
    <s v="Современный"/>
    <s v="гардеробные"/>
    <n v="7596"/>
    <n v="6135.5"/>
    <n v="1793.56"/>
    <s v="Высокая"/>
    <n v="-333.05999999999995"/>
  </r>
  <r>
    <d v="2012-07-11T00:00:00"/>
    <x v="2"/>
    <x v="0"/>
    <x v="4"/>
    <x v="2"/>
    <s v="Классика"/>
    <m/>
    <n v="5803"/>
    <n v="2892"/>
    <n v="866"/>
    <s v="Эконом"/>
    <n v="2045"/>
  </r>
  <r>
    <d v="2012-07-16T00:00:00"/>
    <x v="6"/>
    <x v="1"/>
    <x v="9"/>
    <x v="5"/>
    <s v="Современный"/>
    <s v="счет 135 (корп. мебель)"/>
    <n v="13870.8"/>
    <n v="4009.81"/>
    <n v="1782.96"/>
    <s v="Высокая"/>
    <n v="8078.03"/>
  </r>
  <r>
    <d v="2012-07-16T00:00:00"/>
    <x v="6"/>
    <x v="4"/>
    <x v="10"/>
    <x v="3"/>
    <s v="Современный"/>
    <s v="счет 135 (кровать)"/>
    <n v="3570"/>
    <n v="792.37"/>
    <n v="1060.1199999999999"/>
    <s v="Эконом"/>
    <n v="1717.5100000000002"/>
  </r>
  <r>
    <d v="2012-07-18T00:00:00"/>
    <x v="6"/>
    <x v="1"/>
    <x v="3"/>
    <x v="1"/>
    <s v="Современный"/>
    <s v="счет 137 mostra SPb., sedie Olivia"/>
    <n v="533.4"/>
    <n v="342.9"/>
    <n v="271.61"/>
    <s v="Средняя"/>
    <n v="-81.110000000000014"/>
  </r>
  <r>
    <d v="2012-07-20T00:00:00"/>
    <x v="6"/>
    <x v="2"/>
    <x v="0"/>
    <x v="0"/>
    <s v="Этник"/>
    <s v="счет 136, заказ 187"/>
    <n v="1712.54"/>
    <n v="816.95249999999999"/>
    <n v="218.29253731343286"/>
    <s v="Высокая"/>
    <n v="677.29496268656715"/>
  </r>
  <r>
    <d v="2012-07-26T00:00:00"/>
    <x v="6"/>
    <x v="0"/>
    <x v="0"/>
    <x v="0"/>
    <s v="Этник"/>
    <s v="фурнитура повторно"/>
    <n v="525"/>
    <n v="314.93"/>
    <n v="0.35"/>
    <s v="Высокая"/>
    <n v="209.72"/>
  </r>
  <r>
    <d v="2012-08-29T00:00:00"/>
    <x v="7"/>
    <x v="0"/>
    <x v="0"/>
    <x v="0"/>
    <s v="Этник"/>
    <s v="счет 149 (зеркало, светильник)"/>
    <n v="481.05"/>
    <n v="123.75"/>
    <n v="7.7615124378109464"/>
    <s v="Высокая"/>
    <n v="349.53848756218906"/>
  </r>
  <r>
    <d v="2012-08-30T00:00:00"/>
    <x v="7"/>
    <x v="2"/>
    <x v="2"/>
    <x v="2"/>
    <s v="Современный"/>
    <s v="счет 143 (CONSEGNA 34, Перфильев)"/>
    <n v="3843.71"/>
    <n v="1288.5721624999999"/>
    <n v="2145.75"/>
    <s v="Эконом"/>
    <n v="409.38783750000039"/>
  </r>
  <r>
    <d v="2012-08-30T00:00:00"/>
    <x v="7"/>
    <x v="2"/>
    <x v="2"/>
    <x v="2"/>
    <s v="Современный"/>
    <s v="счет 144 (CONSEGNA 33)"/>
    <n v="4186.96"/>
    <n v="1584.8398749999999"/>
    <n v="2384.17"/>
    <s v="Эконом"/>
    <n v="217.9501250000003"/>
  </r>
  <r>
    <d v="2012-08-30T00:00:00"/>
    <x v="7"/>
    <x v="0"/>
    <x v="0"/>
    <x v="0"/>
    <s v="Этник"/>
    <s v="счет 145 (Заказ №2507)"/>
    <n v="1600"/>
    <n v="844.44"/>
    <n v="366.15"/>
    <s v="Высокая"/>
    <n v="389.40999999999997"/>
  </r>
  <r>
    <m/>
    <x v="7"/>
    <x v="3"/>
    <x v="3"/>
    <x v="2"/>
    <s v="Классика"/>
    <m/>
    <n v="0"/>
    <n v="0"/>
    <n v="0"/>
    <m/>
    <n v="0"/>
  </r>
  <r>
    <m/>
    <x v="7"/>
    <x v="4"/>
    <x v="3"/>
    <x v="2"/>
    <s v="Классика"/>
    <m/>
    <n v="0"/>
    <n v="0"/>
    <n v="0"/>
    <m/>
    <n v="0"/>
  </r>
  <r>
    <m/>
    <x v="7"/>
    <x v="1"/>
    <x v="3"/>
    <x v="2"/>
    <s v="Классика"/>
    <m/>
    <n v="0"/>
    <n v="0"/>
    <n v="0"/>
    <m/>
    <n v="0"/>
  </r>
  <r>
    <d v="2012-09-05T00:00:00"/>
    <x v="8"/>
    <x v="1"/>
    <x v="2"/>
    <x v="2"/>
    <s v="Современный"/>
    <s v="счет 150, кухня CONSEGNA 32"/>
    <n v="7769.45"/>
    <n v="2761.5611749999994"/>
    <n v="2801.4"/>
    <s v="Эконом"/>
    <n v="2206.4888249999999"/>
  </r>
  <r>
    <d v="2012-09-05T00:00:00"/>
    <x v="8"/>
    <x v="0"/>
    <x v="0"/>
    <x v="0"/>
    <s v="Этник"/>
    <s v="счет 153, ванная"/>
    <n v="1719.12"/>
    <n v="641.63"/>
    <n v="166.38"/>
    <s v="Высокая"/>
    <n v="911.10999999999979"/>
  </r>
  <r>
    <d v="2012-09-05T00:00:00"/>
    <x v="8"/>
    <x v="2"/>
    <x v="1"/>
    <x v="1"/>
    <s v="Современный"/>
    <s v="счет 156, диван"/>
    <n v="5523.3"/>
    <n v="966.72"/>
    <n v="1341"/>
    <s v="Высокая"/>
    <n v="3215.58"/>
  </r>
  <r>
    <d v="2012-09-07T00:00:00"/>
    <x v="8"/>
    <x v="4"/>
    <x v="3"/>
    <x v="3"/>
    <s v="Современный"/>
    <s v="счет 152, кровать"/>
    <n v="2248.0300000000002"/>
    <n v="944.55"/>
    <n v="396"/>
    <s v="Средняя"/>
    <n v="907.48000000000025"/>
  </r>
  <r>
    <d v="2012-09-11T00:00:00"/>
    <x v="8"/>
    <x v="2"/>
    <x v="2"/>
    <x v="2"/>
    <s v="Современный"/>
    <s v="счет 142 (Заказ №2807)  (CONSEGNA 5)"/>
    <n v="6142.19"/>
    <n v="2343.6233999999999"/>
    <n v="2839"/>
    <s v="Эконом"/>
    <n v="959.56659999999965"/>
  </r>
  <r>
    <d v="2012-09-13T00:00:00"/>
    <x v="8"/>
    <x v="0"/>
    <x v="2"/>
    <x v="2"/>
    <s v="Современный"/>
    <s v="счет 155 (CONSEGNA 6)"/>
    <n v="6383.25"/>
    <n v="2457.4485999999997"/>
    <n v="3576.25"/>
    <s v="Эконом"/>
    <n v="349.55140000000029"/>
  </r>
  <r>
    <d v="2012-09-18T00:00:00"/>
    <x v="8"/>
    <x v="3"/>
    <x v="2"/>
    <x v="2"/>
    <s v="Современный"/>
    <s v="счет 158, кухня  (CONSEGNA 47)"/>
    <n v="14295.99"/>
    <n v="3441.3348624999999"/>
    <n v="3974.61"/>
    <s v="Эконом"/>
    <n v="6880.0451374999993"/>
  </r>
  <r>
    <d v="2012-09-19T00:00:00"/>
    <x v="8"/>
    <x v="1"/>
    <x v="2"/>
    <x v="2"/>
    <s v="Современный"/>
    <s v="счет 164 (смеситель на кухню) CONSEGNA 7"/>
    <n v="471.6"/>
    <n v="102.55249999999999"/>
    <n v="5.96"/>
    <s v="Эконом"/>
    <n v="363.08750000000003"/>
  </r>
  <r>
    <d v="2012-09-21T00:00:00"/>
    <x v="8"/>
    <x v="0"/>
    <x v="0"/>
    <x v="0"/>
    <s v="Этник"/>
    <s v="счет 165, дозаказ раковины"/>
    <n v="500"/>
    <n v="152.65"/>
    <n v="12.127363184079604"/>
    <s v="Высокая"/>
    <n v="335.2226368159204"/>
  </r>
  <r>
    <d v="2012-09-28T00:00:00"/>
    <x v="8"/>
    <x v="3"/>
    <x v="2"/>
    <x v="2"/>
    <s v="Современный"/>
    <s v="счет 151, техника Whirpool"/>
    <n v="2126"/>
    <n v="1600.2571428571428"/>
    <n v="440"/>
    <s v="Эконом"/>
    <n v="85.742857142857247"/>
  </r>
  <r>
    <d v="2012-10-05T00:00:00"/>
    <x v="9"/>
    <x v="1"/>
    <x v="11"/>
    <x v="5"/>
    <s v="Современный"/>
    <s v="счет 170, гостиная, прихожая"/>
    <n v="7156.5"/>
    <n v="2218.09"/>
    <n v="895.85"/>
    <s v="Средняя"/>
    <n v="4042.56"/>
  </r>
  <r>
    <d v="2012-10-05T00:00:00"/>
    <x v="9"/>
    <x v="1"/>
    <x v="12"/>
    <x v="4"/>
    <s v="Современный"/>
    <s v="счет 171, прихожая"/>
    <n v="1587.8"/>
    <n v="400.9"/>
    <n v="259"/>
    <s v="Эконом"/>
    <n v="927.90000000000009"/>
  </r>
  <r>
    <d v="2012-10-05T00:00:00"/>
    <x v="9"/>
    <x v="2"/>
    <x v="10"/>
    <x v="1"/>
    <s v="Современный"/>
    <s v="счет 154, диван"/>
    <n v="3620.43"/>
    <n v="1056.83"/>
    <n v="1429.35"/>
    <s v="Эконом"/>
    <n v="1134.25"/>
  </r>
  <r>
    <d v="2012-10-05T00:00:00"/>
    <x v="9"/>
    <x v="4"/>
    <x v="10"/>
    <x v="1"/>
    <s v="Современный"/>
    <s v="счет 154, кресло"/>
    <n v="983.53"/>
    <n v="287.10000000000002"/>
    <n v="376.62"/>
    <s v="Эконом"/>
    <n v="319.80999999999995"/>
  </r>
  <r>
    <d v="2012-10-05T00:00:00"/>
    <x v="9"/>
    <x v="2"/>
    <x v="3"/>
    <x v="1"/>
    <s v="Современный"/>
    <s v="счет 173, тумбочки"/>
    <n v="1060.29"/>
    <n v="445.5"/>
    <n v="145.04"/>
    <s v="Средняя"/>
    <n v="469.75"/>
  </r>
  <r>
    <d v="2012-10-06T00:00:00"/>
    <x v="9"/>
    <x v="1"/>
    <x v="13"/>
    <x v="5"/>
    <s v="Классика"/>
    <m/>
    <n v="3833"/>
    <n v="1992"/>
    <n v="978"/>
    <s v="Средняя"/>
    <n v="863"/>
  </r>
  <r>
    <d v="2012-10-08T00:00:00"/>
    <x v="9"/>
    <x v="1"/>
    <x v="9"/>
    <x v="5"/>
    <s v="Современный"/>
    <s v="счет 175, стеллаж"/>
    <n v="2530.1999999999998"/>
    <n v="1159.79"/>
    <n v="803.6"/>
    <s v="Высокая"/>
    <n v="566.80999999999983"/>
  </r>
  <r>
    <d v="2012-10-08T00:00:00"/>
    <x v="9"/>
    <x v="1"/>
    <x v="3"/>
    <x v="5"/>
    <s v="Современный"/>
    <s v="счет 176, ветрина, тумба"/>
    <n v="6525.6"/>
    <n v="2511"/>
    <n v="1120"/>
    <s v="Средняя"/>
    <n v="2894.6000000000004"/>
  </r>
  <r>
    <d v="2012-10-08T00:00:00"/>
    <x v="9"/>
    <x v="4"/>
    <x v="5"/>
    <x v="3"/>
    <s v="Современный"/>
    <s v="счет 177, шкаф"/>
    <n v="3552.6"/>
    <n v="1613.5"/>
    <n v="561.55999999999995"/>
    <s v="Высокая"/>
    <n v="1377.54"/>
  </r>
  <r>
    <d v="2012-10-09T00:00:00"/>
    <x v="9"/>
    <x v="0"/>
    <x v="0"/>
    <x v="0"/>
    <s v="Этник"/>
    <s v="счет 148, заказ 196"/>
    <n v="1860.58"/>
    <n v="843.84"/>
    <n v="210.83"/>
    <s v="Высокая"/>
    <n v="805.90999999999985"/>
  </r>
  <r>
    <d v="2012-10-09T00:00:00"/>
    <x v="9"/>
    <x v="0"/>
    <x v="0"/>
    <x v="0"/>
    <s v="Этник"/>
    <s v="счет 166, заказ 226"/>
    <n v="2059.75"/>
    <n v="974.04"/>
    <n v="421.67"/>
    <s v="Высокая"/>
    <n v="664.04"/>
  </r>
  <r>
    <d v="2012-10-10T00:00:00"/>
    <x v="9"/>
    <x v="3"/>
    <x v="2"/>
    <x v="2"/>
    <s v="Современный"/>
    <s v="счет 178, кухня (CONSEGNA 4)"/>
    <n v="14119.71"/>
    <n v="3662.3354999999997"/>
    <n v="3759.6"/>
    <s v="Эконом"/>
    <n v="6697.7744999999995"/>
  </r>
  <r>
    <d v="2012-10-10T00:00:00"/>
    <x v="9"/>
    <x v="1"/>
    <x v="0"/>
    <x v="0"/>
    <s v="Этник"/>
    <s v="счет 179, ванная"/>
    <n v="5159.51"/>
    <n v="1475.58"/>
    <n v="602"/>
    <s v="Высокая"/>
    <n v="3081.9300000000003"/>
  </r>
  <r>
    <d v="2012-10-10T00:00:00"/>
    <x v="9"/>
    <x v="2"/>
    <x v="3"/>
    <x v="1"/>
    <s v="Современный"/>
    <s v="счет 180, scacco"/>
    <n v="10408.65"/>
    <n v="3103.2"/>
    <n v="1407.42"/>
    <s v="Средняя"/>
    <n v="5898.03"/>
  </r>
  <r>
    <d v="2012-10-10T00:00:00"/>
    <x v="9"/>
    <x v="3"/>
    <x v="11"/>
    <x v="3"/>
    <s v="Современный"/>
    <s v="счет 183, мебель для спальни"/>
    <n v="4362.6899999999996"/>
    <n v="1745.4690000000001"/>
    <n v="283.35000000000002"/>
    <s v="Средняя"/>
    <n v="2333.8709999999996"/>
  </r>
  <r>
    <d v="2012-10-10T00:00:00"/>
    <x v="9"/>
    <x v="4"/>
    <x v="5"/>
    <x v="3"/>
    <s v="Современный"/>
    <s v="счет 183, мебель для спальни"/>
    <n v="5539.44"/>
    <n v="2096.5"/>
    <n v="602.05999999999995"/>
    <s v="Высокая"/>
    <n v="2840.8799999999997"/>
  </r>
  <r>
    <d v="2012-10-11T00:00:00"/>
    <x v="9"/>
    <x v="3"/>
    <x v="2"/>
    <x v="2"/>
    <s v="Современный"/>
    <s v="счет 167, кухня (CONSEGNA 40)"/>
    <n v="12071.94"/>
    <n v="2938.710525"/>
    <n v="2664.0980735551666"/>
    <s v="Эконом"/>
    <n v="6469.1314014448335"/>
  </r>
  <r>
    <d v="2012-10-12T00:00:00"/>
    <x v="9"/>
    <x v="0"/>
    <x v="1"/>
    <x v="1"/>
    <s v="Современный"/>
    <s v="счет 161, диван, кресла"/>
    <n v="14052.6"/>
    <n v="2815.36"/>
    <n v="3754.52"/>
    <s v="Высокая"/>
    <n v="7482.7199999999993"/>
  </r>
  <r>
    <d v="2012-10-12T00:00:00"/>
    <x v="9"/>
    <x v="1"/>
    <x v="5"/>
    <x v="3"/>
    <s v="Современный"/>
    <s v="счет 162, кровать"/>
    <n v="9567.6299999999992"/>
    <n v="1817.5"/>
    <n v="549.36"/>
    <s v="Высокая"/>
    <n v="7200.7699999999995"/>
  </r>
  <r>
    <d v="2012-10-12T00:00:00"/>
    <x v="9"/>
    <x v="2"/>
    <x v="3"/>
    <x v="3"/>
    <s v="Современный"/>
    <s v="счет 163, стол, стулик"/>
    <n v="542.70000000000005"/>
    <n v="150.75"/>
    <n v="394.56"/>
    <s v="Средняя"/>
    <n v="-2.6099999999999568"/>
  </r>
  <r>
    <d v="2012-10-12T00:00:00"/>
    <x v="9"/>
    <x v="1"/>
    <x v="0"/>
    <x v="0"/>
    <s v="Этник"/>
    <s v="счет 188, ванная"/>
    <n v="3229.18"/>
    <n v="935.53200000000015"/>
    <n v="253"/>
    <s v="Высокая"/>
    <n v="2040.6479999999997"/>
  </r>
  <r>
    <d v="2012-10-12T00:00:00"/>
    <x v="9"/>
    <x v="4"/>
    <x v="11"/>
    <x v="3"/>
    <s v="Современный"/>
    <s v="счет 189, спальня"/>
    <n v="13167.36"/>
    <n v="3944.4570000000003"/>
    <n v="877.56"/>
    <s v="Средняя"/>
    <n v="8345.3430000000008"/>
  </r>
  <r>
    <d v="2012-10-12T00:00:00"/>
    <x v="9"/>
    <x v="2"/>
    <x v="11"/>
    <x v="3"/>
    <s v="Современный"/>
    <s v="счет 193, шкаф"/>
    <n v="4979.2"/>
    <n v="1369.5561"/>
    <n v="571.42999999999995"/>
    <s v="Средняя"/>
    <n v="3038.2139000000002"/>
  </r>
  <r>
    <d v="2012-10-17T00:00:00"/>
    <x v="9"/>
    <x v="0"/>
    <x v="2"/>
    <x v="2"/>
    <s v="Современный"/>
    <s v="счет 194, кухня (CONSEGNA 2)"/>
    <n v="6221.82"/>
    <n v="2077.1726249999997"/>
    <n v="1971.4325744308233"/>
    <s v="Эконом"/>
    <n v="2173.214800569177"/>
  </r>
  <r>
    <d v="2012-10-17T00:00:00"/>
    <x v="9"/>
    <x v="4"/>
    <x v="11"/>
    <x v="3"/>
    <s v="Современный"/>
    <s v="счет 198, спальня"/>
    <n v="7324.56"/>
    <n v="1991.5632000000001"/>
    <n v="808.33"/>
    <s v="Средняя"/>
    <n v="4524.6668000000009"/>
  </r>
  <r>
    <d v="2012-10-19T00:00:00"/>
    <x v="9"/>
    <x v="1"/>
    <x v="8"/>
    <x v="5"/>
    <s v="Классика"/>
    <s v="счет 160, библиотеки, столики"/>
    <n v="40847.08"/>
    <n v="13974.93"/>
    <n v="5266"/>
    <s v="Высокая"/>
    <n v="21606.15"/>
  </r>
  <r>
    <d v="2012-10-19T00:00:00"/>
    <x v="9"/>
    <x v="4"/>
    <x v="2"/>
    <x v="2"/>
    <s v="Современный"/>
    <s v="счет 146 (CONSEGNA 1)"/>
    <n v="3394.34"/>
    <n v="1311.703"/>
    <n v="1678.38"/>
    <s v="Эконом"/>
    <n v="404.25700000000006"/>
  </r>
  <r>
    <d v="2012-10-22T00:00:00"/>
    <x v="9"/>
    <x v="0"/>
    <x v="0"/>
    <x v="0"/>
    <s v="Этник"/>
    <s v="счет 195 (смеситель)"/>
    <n v="814"/>
    <n v="188.58"/>
    <n v="5.14"/>
    <s v="Высокая"/>
    <n v="620.28"/>
  </r>
  <r>
    <d v="2012-10-24T00:00:00"/>
    <x v="9"/>
    <x v="0"/>
    <x v="2"/>
    <x v="2"/>
    <s v="Современный"/>
    <s v="счет 200 (CONSEGNA 45)"/>
    <n v="2864.0237142857145"/>
    <n v="1261.1534999999999"/>
    <n v="2031.7"/>
    <s v="Эконом"/>
    <n v="-428.82978571428544"/>
  </r>
  <r>
    <d v="2012-10-24T00:00:00"/>
    <x v="9"/>
    <x v="1"/>
    <x v="2"/>
    <x v="2"/>
    <s v="Современный"/>
    <s v="счет 197, Эвелина (CONSEGNA 47)"/>
    <n v="6717.76"/>
    <n v="3142.1036249999997"/>
    <n v="3463.33"/>
    <s v="Эконом"/>
    <n v="112.32637500000055"/>
  </r>
  <r>
    <d v="2012-10-26T00:00:00"/>
    <x v="9"/>
    <x v="0"/>
    <x v="2"/>
    <x v="2"/>
    <s v="Современный"/>
    <s v="счет 201 (CONSEGNA 46)"/>
    <n v="8919"/>
    <n v="3086.7858375000001"/>
    <n v="2770.6619964973729"/>
    <s v="Эконом"/>
    <n v="3061.5521660026275"/>
  </r>
  <r>
    <d v="2012-10-29T00:00:00"/>
    <x v="9"/>
    <x v="2"/>
    <x v="2"/>
    <x v="2"/>
    <s v="Современный"/>
    <s v="кухня (CONSEGNA 48)"/>
    <n v="6480"/>
    <n v="1964.3810249999997"/>
    <n v="2557.5300000000002"/>
    <s v="Эконом"/>
    <n v="1958.0889750000001"/>
  </r>
  <r>
    <d v="2012-10-30T00:00:00"/>
    <x v="9"/>
    <x v="1"/>
    <x v="3"/>
    <x v="5"/>
    <s v="Современный"/>
    <s v="счет 203, стол, стулья"/>
    <n v="6580.44"/>
    <n v="1827.9"/>
    <n v="563.45000000000005"/>
    <s v="Средняя"/>
    <n v="4189.0899999999992"/>
  </r>
  <r>
    <d v="2012-10-30T00:00:00"/>
    <x v="9"/>
    <x v="0"/>
    <x v="7"/>
    <x v="2"/>
    <s v="Классика"/>
    <s v="счет 202, Эвелина"/>
    <n v="2770"/>
    <n v="1221.6600000000001"/>
    <n v="696.07"/>
    <s v="Эконом"/>
    <n v="852.26999999999987"/>
  </r>
  <r>
    <d v="2012-10-30T00:00:00"/>
    <x v="9"/>
    <x v="3"/>
    <x v="7"/>
    <x v="2"/>
    <s v="Классика"/>
    <s v="счет 204, rif. SPB.-204"/>
    <n v="6636.2382147838216"/>
    <n v="2989.51"/>
    <n v="2986.55"/>
    <s v="Эконом"/>
    <n v="660.1782147838212"/>
  </r>
  <r>
    <d v="2012-11-06T00:00:00"/>
    <x v="10"/>
    <x v="1"/>
    <x v="0"/>
    <x v="0"/>
    <s v="Этник"/>
    <s v="зеркало-рибальта"/>
    <n v="445"/>
    <n v="166.92000000000002"/>
    <n v="84.33"/>
    <s v="Высокая"/>
    <n v="193.75"/>
  </r>
  <r>
    <d v="2012-11-07T00:00:00"/>
    <x v="10"/>
    <x v="3"/>
    <x v="10"/>
    <x v="1"/>
    <s v="Современный"/>
    <s v="счет 206, диван"/>
    <n v="499.5"/>
    <n v="274.72500000000002"/>
    <n v="794.5"/>
    <s v="Эконом"/>
    <n v="-569.72500000000002"/>
  </r>
  <r>
    <d v="2012-11-08T00:00:00"/>
    <x v="10"/>
    <x v="0"/>
    <x v="2"/>
    <x v="2"/>
    <s v="Современный"/>
    <s v="счет 182, Арарат (CONSEGNA 3)"/>
    <n v="7235.19"/>
    <n v="3637.2020624999996"/>
    <n v="4050.38"/>
    <s v="Эконом"/>
    <n v="-452.39206250000007"/>
  </r>
  <r>
    <d v="2012-11-09T00:00:00"/>
    <x v="10"/>
    <x v="0"/>
    <x v="0"/>
    <x v="0"/>
    <s v="Этник"/>
    <s v="счет 208, ванная"/>
    <n v="3782.7"/>
    <n v="1024.7250000000001"/>
    <n v="370.46"/>
    <s v="Высокая"/>
    <n v="2387.5149999999994"/>
  </r>
  <r>
    <d v="2012-11-09T00:00:00"/>
    <x v="10"/>
    <x v="3"/>
    <x v="0"/>
    <x v="0"/>
    <s v="Этник"/>
    <s v="счет 209, ванная"/>
    <n v="2268"/>
    <n v="613.47"/>
    <n v="317.54000000000002"/>
    <s v="Высокая"/>
    <n v="1336.99"/>
  </r>
  <r>
    <d v="2012-11-14T00:00:00"/>
    <x v="10"/>
    <x v="3"/>
    <x v="7"/>
    <x v="2"/>
    <s v="Классика"/>
    <s v="счет 211, стулья"/>
    <n v="392.4"/>
    <n v="173.97"/>
    <n v="297.47000000000003"/>
    <s v="Эконом"/>
    <n v="-79.040000000000049"/>
  </r>
  <r>
    <d v="2012-11-17T00:00:00"/>
    <x v="10"/>
    <x v="4"/>
    <x v="2"/>
    <x v="2"/>
    <s v="Современный"/>
    <s v="Ryazanzev"/>
    <n v="7599.16"/>
    <n v="2469.46"/>
    <n v="1743"/>
    <s v="Эконом"/>
    <n v="3386.7"/>
  </r>
  <r>
    <d v="2012-11-22T00:00:00"/>
    <x v="10"/>
    <x v="0"/>
    <x v="2"/>
    <x v="2"/>
    <s v="Современный"/>
    <s v="счет 210, техника к кухне In-Box"/>
    <n v="1127"/>
    <n v="825.4"/>
    <n v="322"/>
    <s v="Эконом"/>
    <n v="-20.399999999999977"/>
  </r>
  <r>
    <d v="2012-11-26T00:00:00"/>
    <x v="10"/>
    <x v="0"/>
    <x v="2"/>
    <x v="2"/>
    <s v="Современный"/>
    <s v="consegna n.72"/>
    <n v="15358"/>
    <n v="4926.4121499999992"/>
    <n v="6287.4"/>
    <s v="Эконом"/>
    <n v="4144.1878500000003"/>
  </r>
  <r>
    <d v="2012-11-26T00:00:00"/>
    <x v="10"/>
    <x v="1"/>
    <x v="7"/>
    <x v="2"/>
    <s v="Классика"/>
    <s v="техника мойка, смеситель, измельчитель"/>
    <n v="1244"/>
    <n v="763.76901408450703"/>
    <n v="48"/>
    <s v="Эконом"/>
    <n v="432.23098591549297"/>
  </r>
  <r>
    <d v="2012-11-26T00:00:00"/>
    <x v="10"/>
    <x v="0"/>
    <x v="7"/>
    <x v="2"/>
    <s v="Классика"/>
    <s v="техника Whirpool"/>
    <n v="1157"/>
    <n v="915.09859154929575"/>
    <n v="614"/>
    <s v="Эконом"/>
    <n v="-372.09859154929575"/>
  </r>
  <r>
    <d v="2012-11-26T00:00:00"/>
    <x v="10"/>
    <x v="2"/>
    <x v="2"/>
    <x v="2"/>
    <s v="Современный"/>
    <s v="техника Miele"/>
    <n v="9411"/>
    <n v="8167.5675675675675"/>
    <n v="4769"/>
    <s v="Эконом"/>
    <n v="-3525.5675675675675"/>
  </r>
  <r>
    <d v="2012-11-28T00:00:00"/>
    <x v="10"/>
    <x v="0"/>
    <x v="2"/>
    <x v="2"/>
    <s v="Современный"/>
    <s v="cucina Shtrymova"/>
    <n v="6081.12"/>
    <n v="1920.32"/>
    <n v="1743"/>
    <s v="Эконом"/>
    <n v="2417.8000000000002"/>
  </r>
  <r>
    <d v="2012-11-28T00:00:00"/>
    <x v="10"/>
    <x v="4"/>
    <x v="0"/>
    <x v="0"/>
    <s v="Этник"/>
    <s v="счет 219, ванная"/>
    <n v="4330.4799999999996"/>
    <n v="1582.854"/>
    <n v="626.66"/>
    <s v="Высокая"/>
    <n v="2120.9659999999994"/>
  </r>
  <r>
    <d v="2012-12-04T00:00:00"/>
    <x v="11"/>
    <x v="1"/>
    <x v="2"/>
    <x v="5"/>
    <s v="Современный"/>
    <s v="счет 222, буазери"/>
    <n v="2913.6"/>
    <n v="1092.5999999999999"/>
    <n v="731.59"/>
    <s v="Эконом"/>
    <n v="1089.4099999999999"/>
  </r>
  <r>
    <d v="2012-12-04T00:00:00"/>
    <x v="11"/>
    <x v="1"/>
    <x v="10"/>
    <x v="3"/>
    <s v="Современный"/>
    <s v="счет 223, кровать"/>
    <n v="1129.2"/>
    <n v="307.39500000000004"/>
    <n v="265.17"/>
    <s v="Эконом"/>
    <n v="556.63499999999999"/>
  </r>
  <r>
    <d v="2012-12-04T00:00:00"/>
    <x v="11"/>
    <x v="4"/>
    <x v="11"/>
    <x v="3"/>
    <s v="Современный"/>
    <s v="счет 223,  золотая ткань для покрывала 4х4 м"/>
    <n v="240"/>
    <n v="400.95"/>
    <n v="2.4500000000000002"/>
    <s v="Средняя"/>
    <n v="-163.39999999999998"/>
  </r>
  <r>
    <d v="2012-12-04T00:00:00"/>
    <x v="11"/>
    <x v="2"/>
    <x v="11"/>
    <x v="3"/>
    <s v="Современный"/>
    <s v="счет 223, ткань в квадратики, 20 м"/>
    <n v="1200"/>
    <n v="356.4"/>
    <n v="12.26"/>
    <s v="Средняя"/>
    <n v="831.34"/>
  </r>
  <r>
    <d v="2012-12-05T00:00:00"/>
    <x v="11"/>
    <x v="4"/>
    <x v="0"/>
    <x v="0"/>
    <s v="Этник"/>
    <s v="счет 224, ванная Арарат"/>
    <n v="3294.2839609483958"/>
    <n v="2006.7215999999999"/>
    <n v="509.38"/>
    <s v="Высокая"/>
    <n v="778.18236094839597"/>
  </r>
  <r>
    <d v="2012-12-06T00:00:00"/>
    <x v="11"/>
    <x v="0"/>
    <x v="2"/>
    <x v="2"/>
    <s v="Современный"/>
    <s v="счет 214, кухня (CONSEGNA 70)"/>
    <n v="17330.62"/>
    <n v="6047.0283499999996"/>
    <n v="4510.1400000000003"/>
    <s v="Эконом"/>
    <n v="6773.4516499999982"/>
  </r>
  <r>
    <d v="2012-12-06T00:00:00"/>
    <x v="11"/>
    <x v="0"/>
    <x v="0"/>
    <x v="0"/>
    <s v="Этник"/>
    <s v="счет 220, ванная"/>
    <n v="2185.92"/>
    <n v="1150.8120000000001"/>
    <n v="254.69"/>
    <s v="Высокая"/>
    <n v="780.41799999999989"/>
  </r>
  <r>
    <d v="2012-12-06T00:00:00"/>
    <x v="11"/>
    <x v="0"/>
    <x v="2"/>
    <x v="2"/>
    <s v="Современный"/>
    <s v="счет 226, техника (вытяжка)"/>
    <n v="332"/>
    <n v="415"/>
    <n v="76"/>
    <s v="Эконом"/>
    <n v="-159"/>
  </r>
  <r>
    <d v="2012-12-06T00:00:00"/>
    <x v="11"/>
    <x v="2"/>
    <x v="2"/>
    <x v="2"/>
    <s v="Современный"/>
    <s v="счет 225, кухня (CONSEGNA 71)"/>
    <n v="1855.0432357043235"/>
    <n v="891.07624999999996"/>
    <n v="852.71"/>
    <s v="Эконом"/>
    <n v="111.25698570432348"/>
  </r>
  <r>
    <d v="2012-12-06T00:00:00"/>
    <x v="11"/>
    <x v="1"/>
    <x v="11"/>
    <x v="3"/>
    <s v="Современный"/>
    <s v="счет 217, кровать Greta"/>
    <n v="4164.66"/>
    <n v="1212.6510000000001"/>
    <n v="256.98"/>
    <s v="Средняя"/>
    <n v="2695.029"/>
  </r>
  <r>
    <d v="2012-12-06T00:00:00"/>
    <x v="11"/>
    <x v="1"/>
    <x v="0"/>
    <x v="0"/>
    <s v="Этник"/>
    <s v="счет 218, ванная"/>
    <n v="3883.53"/>
    <n v="1206.2193"/>
    <n v="491"/>
    <s v="Высокая"/>
    <n v="2186.3107"/>
  </r>
  <r>
    <d v="2012-12-18T00:00:00"/>
    <x v="11"/>
    <x v="4"/>
    <x v="1"/>
    <x v="1"/>
    <s v="Современный"/>
    <s v="диван"/>
    <n v="4000"/>
    <n v="1733"/>
    <n v="2061.35"/>
    <s v="Высокая"/>
    <n v="205.65000000000009"/>
  </r>
  <r>
    <d v="2012-12-19T00:00:00"/>
    <x v="11"/>
    <x v="0"/>
    <x v="2"/>
    <x v="2"/>
    <s v="Современный"/>
    <s v="кухня (CONSEGNA 1)"/>
    <n v="12562"/>
    <n v="5686.2534999999998"/>
    <n v="3221.53"/>
    <s v="Эконом"/>
    <n v="3654.2165"/>
  </r>
  <r>
    <d v="2012-12-19T00:00:00"/>
    <x v="11"/>
    <x v="1"/>
    <x v="14"/>
    <x v="6"/>
    <s v="Современный"/>
    <s v="шкаф"/>
    <n v="2750"/>
    <n v="1026.5999999999999"/>
    <n v="1147.0999999999999"/>
    <s v="Средняя"/>
    <n v="576.30000000000018"/>
  </r>
  <r>
    <d v="2012-12-19T00:00:00"/>
    <x v="11"/>
    <x v="0"/>
    <x v="0"/>
    <x v="0"/>
    <s v="Этник"/>
    <s v="ванная"/>
    <n v="1400"/>
    <n v="452.95380000000006"/>
    <n v="156.66999999999999"/>
    <s v="Высокая"/>
    <n v="790.37620000000004"/>
  </r>
  <r>
    <d v="2012-12-20T00:00:00"/>
    <x v="11"/>
    <x v="1"/>
    <x v="0"/>
    <x v="4"/>
    <s v="Этник"/>
    <s v="счета 56, 57 Grishina"/>
    <n v="6265.98"/>
    <n v="1594.87"/>
    <n v="477.5"/>
    <s v="Высокая"/>
    <n v="4193.6099999999997"/>
  </r>
  <r>
    <d v="2012-12-25T00:00:00"/>
    <x v="11"/>
    <x v="1"/>
    <x v="0"/>
    <x v="4"/>
    <s v="Этник"/>
    <s v="счет 60, Sochi"/>
    <n v="4393.6099999999997"/>
    <n v="1472.33"/>
    <n v="191"/>
    <s v="Высокая"/>
    <n v="2730.2799999999997"/>
  </r>
  <r>
    <d v="2012-12-28T00:00:00"/>
    <x v="11"/>
    <x v="4"/>
    <x v="3"/>
    <x v="3"/>
    <s v="Современный"/>
    <s v="кровать"/>
    <n v="2972"/>
    <n v="2104.65"/>
    <n v="565.30999999999995"/>
    <s v="Средняя"/>
    <n v="302.03999999999996"/>
  </r>
  <r>
    <m/>
    <x v="11"/>
    <x v="0"/>
    <x v="3"/>
    <x v="6"/>
    <s v="Современный"/>
    <m/>
    <n v="0"/>
    <n v="0"/>
    <n v="0"/>
    <m/>
    <n v="0"/>
  </r>
  <r>
    <m/>
    <x v="11"/>
    <x v="0"/>
    <x v="3"/>
    <x v="5"/>
    <s v="Современный"/>
    <m/>
    <n v="0"/>
    <n v="0"/>
    <n v="0"/>
    <m/>
    <n v="0"/>
  </r>
  <r>
    <m/>
    <x v="11"/>
    <x v="3"/>
    <x v="3"/>
    <x v="6"/>
    <s v="Современный"/>
    <m/>
    <n v="0"/>
    <n v="0"/>
    <n v="0"/>
    <m/>
    <n v="0"/>
  </r>
  <r>
    <m/>
    <x v="11"/>
    <x v="3"/>
    <x v="3"/>
    <x v="5"/>
    <s v="Современный"/>
    <m/>
    <n v="0"/>
    <n v="0"/>
    <n v="0"/>
    <m/>
    <n v="0"/>
  </r>
  <r>
    <m/>
    <x v="11"/>
    <x v="4"/>
    <x v="3"/>
    <x v="5"/>
    <s v="Современный"/>
    <m/>
    <n v="0"/>
    <n v="0"/>
    <n v="0"/>
    <m/>
    <n v="0"/>
  </r>
  <r>
    <m/>
    <x v="11"/>
    <x v="4"/>
    <x v="3"/>
    <x v="4"/>
    <s v="Современный"/>
    <m/>
    <n v="0"/>
    <n v="0"/>
    <n v="0"/>
    <m/>
    <n v="0"/>
  </r>
  <r>
    <m/>
    <x v="11"/>
    <x v="3"/>
    <x v="3"/>
    <x v="4"/>
    <s v="Современный"/>
    <m/>
    <n v="0"/>
    <n v="0"/>
    <n v="0"/>
    <m/>
    <n v="0"/>
  </r>
  <r>
    <m/>
    <x v="11"/>
    <x v="0"/>
    <x v="3"/>
    <x v="4"/>
    <s v="Современный"/>
    <m/>
    <n v="0"/>
    <n v="0"/>
    <n v="0"/>
    <m/>
    <n v="0"/>
  </r>
  <r>
    <m/>
    <x v="11"/>
    <x v="2"/>
    <x v="3"/>
    <x v="4"/>
    <s v="Современный"/>
    <m/>
    <n v="0"/>
    <n v="0"/>
    <n v="0"/>
    <m/>
    <n v="0"/>
  </r>
  <r>
    <m/>
    <x v="11"/>
    <x v="2"/>
    <x v="3"/>
    <x v="5"/>
    <s v="Современный"/>
    <m/>
    <n v="0"/>
    <n v="0"/>
    <n v="0"/>
    <m/>
    <n v="0"/>
  </r>
  <r>
    <m/>
    <x v="0"/>
    <x v="2"/>
    <x v="3"/>
    <x v="3"/>
    <s v="Классика"/>
    <m/>
    <n v="0"/>
    <n v="0"/>
    <n v="0"/>
    <m/>
    <n v="0"/>
  </r>
  <r>
    <m/>
    <x v="0"/>
    <x v="2"/>
    <x v="3"/>
    <x v="5"/>
    <s v="Классика"/>
    <m/>
    <n v="0"/>
    <n v="0"/>
    <n v="0"/>
    <m/>
    <n v="0"/>
  </r>
  <r>
    <m/>
    <x v="0"/>
    <x v="2"/>
    <x v="3"/>
    <x v="6"/>
    <s v="Классика"/>
    <m/>
    <n v="0"/>
    <n v="0"/>
    <n v="0"/>
    <m/>
    <n v="0"/>
  </r>
  <r>
    <m/>
    <x v="0"/>
    <x v="2"/>
    <x v="3"/>
    <x v="4"/>
    <s v="Классика"/>
    <m/>
    <n v="0"/>
    <n v="0"/>
    <n v="0"/>
    <m/>
    <n v="0"/>
  </r>
  <r>
    <m/>
    <x v="1"/>
    <x v="2"/>
    <x v="3"/>
    <x v="3"/>
    <s v="Классика"/>
    <m/>
    <n v="0"/>
    <n v="0"/>
    <n v="0"/>
    <m/>
    <n v="0"/>
  </r>
  <r>
    <m/>
    <x v="1"/>
    <x v="2"/>
    <x v="3"/>
    <x v="1"/>
    <s v="Классика"/>
    <m/>
    <n v="0"/>
    <n v="0"/>
    <n v="0"/>
    <m/>
    <n v="0"/>
  </r>
  <r>
    <m/>
    <x v="1"/>
    <x v="2"/>
    <x v="3"/>
    <x v="5"/>
    <s v="Классика"/>
    <m/>
    <n v="0"/>
    <n v="0"/>
    <n v="0"/>
    <m/>
    <n v="0"/>
  </r>
  <r>
    <m/>
    <x v="1"/>
    <x v="2"/>
    <x v="3"/>
    <x v="6"/>
    <s v="Классика"/>
    <m/>
    <n v="0"/>
    <n v="0"/>
    <n v="0"/>
    <m/>
    <n v="0"/>
  </r>
  <r>
    <m/>
    <x v="1"/>
    <x v="2"/>
    <x v="3"/>
    <x v="4"/>
    <s v="Классика"/>
    <m/>
    <n v="0"/>
    <n v="0"/>
    <n v="0"/>
    <m/>
    <n v="0"/>
  </r>
  <r>
    <m/>
    <x v="2"/>
    <x v="2"/>
    <x v="3"/>
    <x v="3"/>
    <s v="Классика"/>
    <m/>
    <n v="0"/>
    <n v="0"/>
    <n v="0"/>
    <m/>
    <n v="0"/>
  </r>
  <r>
    <m/>
    <x v="3"/>
    <x v="2"/>
    <x v="3"/>
    <x v="4"/>
    <s v="Классика"/>
    <m/>
    <n v="0"/>
    <n v="0"/>
    <n v="0"/>
    <m/>
    <n v="0"/>
  </r>
  <r>
    <m/>
    <x v="4"/>
    <x v="2"/>
    <x v="3"/>
    <x v="2"/>
    <s v="Классика"/>
    <m/>
    <n v="0"/>
    <n v="0"/>
    <n v="0"/>
    <m/>
    <n v="0"/>
  </r>
  <r>
    <m/>
    <x v="5"/>
    <x v="2"/>
    <x v="3"/>
    <x v="5"/>
    <s v="Классика"/>
    <m/>
    <n v="0"/>
    <n v="0"/>
    <n v="0"/>
    <m/>
    <n v="0"/>
  </r>
  <r>
    <m/>
    <x v="6"/>
    <x v="2"/>
    <x v="3"/>
    <x v="6"/>
    <s v="Классика"/>
    <m/>
    <n v="0"/>
    <n v="0"/>
    <n v="0"/>
    <m/>
    <n v="0"/>
  </r>
  <r>
    <m/>
    <x v="7"/>
    <x v="2"/>
    <x v="3"/>
    <x v="0"/>
    <s v="Классика"/>
    <m/>
    <n v="0"/>
    <n v="0"/>
    <n v="0"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1F5C77-76F6-4673-9C75-844C68C6C681}" name="Итоговые суммы" cacheId="0" applyNumberFormats="0" applyBorderFormats="0" applyFontFormats="0" applyPatternFormats="0" applyAlignmentFormats="0" applyWidthHeightFormats="1" dataCaption="Значения" showMissing="0" updatedVersion="6" minRefreshableVersion="3" itemPrintTitles="1" createdVersion="6" indent="0" outline="1" outlineData="1" multipleFieldFilters="0" chartFormat="4">
  <location ref="J3:M4" firstHeaderRow="0" firstDataRow="1" firstDataCol="0"/>
  <pivotFields count="12">
    <pivotField showAll="0"/>
    <pivotField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m="1" x="12"/>
        <item t="default"/>
      </items>
    </pivotField>
    <pivotField showAll="0">
      <items count="8">
        <item x="0"/>
        <item x="3"/>
        <item m="1" x="6"/>
        <item x="1"/>
        <item x="4"/>
        <item x="2"/>
        <item m="1" x="5"/>
        <item t="default"/>
      </items>
    </pivotField>
    <pivotField showAll="0">
      <items count="17">
        <item x="0"/>
        <item x="13"/>
        <item x="2"/>
        <item x="12"/>
        <item x="8"/>
        <item x="1"/>
        <item x="4"/>
        <item x="7"/>
        <item x="6"/>
        <item x="11"/>
        <item x="9"/>
        <item x="10"/>
        <item x="14"/>
        <item x="3"/>
        <item x="5"/>
        <item m="1" x="15"/>
        <item t="default"/>
      </items>
    </pivotField>
    <pivotField showAll="0"/>
    <pivotField showAll="0"/>
    <pivotField showAll="0"/>
    <pivotField dataField="1" numFmtId="164" showAll="0"/>
    <pivotField dataField="1" numFmtId="164" showAll="0"/>
    <pivotField dataField="1" showAll="0"/>
    <pivotField showAll="0"/>
    <pivotField dataField="1" showAl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Сумма по полю Конечная цена для клиента" fld="7" baseField="0" baseItem="0"/>
    <dataField name="Сумма по полю К оплате поставщику" fld="8" baseField="0" baseItem="0"/>
    <dataField name="Сумма по полю Транспорт и таможня" fld="9" baseField="0" baseItem="0"/>
    <dataField name="Сумма по полю Прибыль факт" fld="11" baseField="0" baseItem="0"/>
  </dataFields>
  <formats count="1"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84D203A-E856-4B38-BE14-1F1CD2970C27}" name="Продажи по менеджерам" cacheId="0" applyNumberFormats="0" applyBorderFormats="0" applyFontFormats="0" applyPatternFormats="0" applyAlignmentFormats="0" applyWidthHeightFormats="1" dataCaption="Значения" showMissing="0" updatedVersion="6" minRefreshableVersion="3" itemPrintTitles="1" createdVersion="6" indent="0" outline="1" outlineData="1" multipleFieldFilters="0" chartFormat="9">
  <location ref="G3:H9" firstHeaderRow="1" firstDataRow="1" firstDataCol="1"/>
  <pivotFields count="12">
    <pivotField showAll="0"/>
    <pivotField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m="1" x="12"/>
        <item t="default"/>
      </items>
    </pivotField>
    <pivotField axis="axisRow" showAll="0">
      <items count="8">
        <item x="0"/>
        <item x="3"/>
        <item m="1" x="6"/>
        <item x="1"/>
        <item x="2"/>
        <item x="4"/>
        <item m="1" x="5"/>
        <item t="default"/>
      </items>
    </pivotField>
    <pivotField showAll="0">
      <items count="17">
        <item x="0"/>
        <item x="13"/>
        <item x="2"/>
        <item x="12"/>
        <item x="8"/>
        <item x="1"/>
        <item x="4"/>
        <item x="7"/>
        <item x="6"/>
        <item x="11"/>
        <item x="9"/>
        <item x="10"/>
        <item x="14"/>
        <item x="3"/>
        <item x="5"/>
        <item m="1" x="15"/>
        <item t="default"/>
      </items>
    </pivotField>
    <pivotField showAll="0"/>
    <pivotField showAll="0"/>
    <pivotField showAll="0"/>
    <pivotField dataField="1" numFmtId="164" showAll="0"/>
    <pivotField numFmtId="164" showAll="0"/>
    <pivotField showAll="0"/>
    <pivotField showAll="0"/>
    <pivotField showAll="0"/>
  </pivotFields>
  <rowFields count="1">
    <field x="2"/>
  </rowFields>
  <rowItems count="6">
    <i>
      <x/>
    </i>
    <i>
      <x v="1"/>
    </i>
    <i>
      <x v="3"/>
    </i>
    <i>
      <x v="4"/>
    </i>
    <i>
      <x v="5"/>
    </i>
    <i t="grand">
      <x/>
    </i>
  </rowItems>
  <colItems count="1">
    <i/>
  </colItems>
  <dataFields count="1">
    <dataField name="Сумма по полю Конечная цена для клиента" fld="7" baseField="0" baseItem="0"/>
  </dataFields>
  <formats count="2">
    <format dxfId="2">
      <pivotArea collapsedLevelsAreSubtotals="1" fieldPosition="0">
        <references count="1">
          <reference field="2" count="0"/>
        </references>
      </pivotArea>
    </format>
    <format dxfId="1">
      <pivotArea grandRow="1" outline="0" collapsedLevelsAreSubtotals="1" fieldPosition="0"/>
    </format>
  </formats>
  <chartFormats count="4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F9CB8D-709E-45A2-8FE2-268D25588EF7}" name="Продажи по месяцам" cacheId="0" applyNumberFormats="0" applyBorderFormats="0" applyFontFormats="0" applyPatternFormats="0" applyAlignmentFormats="0" applyWidthHeightFormats="1" dataCaption="Значения" showMissing="0" updatedVersion="6" minRefreshableVersion="3" itemPrintTitles="1" createdVersion="6" indent="0" outline="1" outlineData="1" multipleFieldFilters="0" chartFormat="4">
  <location ref="A3:B16" firstHeaderRow="1" firstDataRow="1" firstDataCol="1"/>
  <pivotFields count="12">
    <pivotField showAll="0"/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m="1" x="12"/>
        <item t="default"/>
      </items>
    </pivotField>
    <pivotField showAll="0">
      <items count="8">
        <item x="0"/>
        <item x="3"/>
        <item m="1" x="6"/>
        <item x="1"/>
        <item x="4"/>
        <item x="2"/>
        <item m="1" x="5"/>
        <item t="default"/>
      </items>
    </pivotField>
    <pivotField showAll="0">
      <items count="17">
        <item x="0"/>
        <item x="13"/>
        <item x="2"/>
        <item x="12"/>
        <item x="8"/>
        <item x="1"/>
        <item x="4"/>
        <item x="7"/>
        <item x="6"/>
        <item x="11"/>
        <item x="9"/>
        <item x="10"/>
        <item x="14"/>
        <item x="3"/>
        <item x="5"/>
        <item m="1" x="15"/>
        <item t="default"/>
      </items>
    </pivotField>
    <pivotField showAll="0"/>
    <pivotField showAll="0"/>
    <pivotField showAll="0"/>
    <pivotField dataField="1" numFmtId="164" showAll="0"/>
    <pivotField numFmtId="164" showAll="0"/>
    <pivotField showAll="0"/>
    <pivotField showAll="0"/>
    <pivotField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Сумма по полю Конечная цена для клиента" fld="7" baseField="0" baseItem="0"/>
  </dataFields>
  <formats count="2">
    <format dxfId="4">
      <pivotArea collapsedLevelsAreSubtotals="1" fieldPosition="0">
        <references count="1">
          <reference field="1" count="0"/>
        </references>
      </pivotArea>
    </format>
    <format dxfId="3">
      <pivotArea grandRow="1" outline="0" collapsedLevelsAreSubtotals="1" fieldPosition="0"/>
    </format>
  </formats>
  <chartFormats count="1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6E4C31-BCBA-43C8-B207-33FF5992F5D1}" name="Продажи по видам" cacheId="0" applyNumberFormats="0" applyBorderFormats="0" applyFontFormats="0" applyPatternFormats="0" applyAlignmentFormats="0" applyWidthHeightFormats="1" dataCaption="Значения" updatedVersion="6" minRefreshableVersion="3" itemPrintTitles="1" createdVersion="6" indent="0" outline="1" outlineData="1" multipleFieldFilters="0" chartFormat="8">
  <location ref="D3:E11" firstHeaderRow="1" firstDataRow="1" firstDataCol="1"/>
  <pivotFields count="12">
    <pivotField showAll="0"/>
    <pivotField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m="1" x="12"/>
        <item t="default"/>
      </items>
    </pivotField>
    <pivotField showAll="0">
      <items count="8">
        <item x="0"/>
        <item x="3"/>
        <item m="1" x="6"/>
        <item x="1"/>
        <item x="4"/>
        <item x="2"/>
        <item m="1" x="5"/>
        <item t="default"/>
      </items>
    </pivotField>
    <pivotField showAll="0">
      <items count="17">
        <item x="0"/>
        <item x="13"/>
        <item x="2"/>
        <item x="12"/>
        <item x="8"/>
        <item x="1"/>
        <item x="4"/>
        <item x="7"/>
        <item x="6"/>
        <item x="11"/>
        <item x="9"/>
        <item x="10"/>
        <item x="14"/>
        <item x="3"/>
        <item x="5"/>
        <item m="1" x="15"/>
        <item t="default"/>
      </items>
    </pivotField>
    <pivotField axis="axisRow" showAll="0">
      <items count="9">
        <item x="0"/>
        <item x="6"/>
        <item x="5"/>
        <item x="2"/>
        <item x="1"/>
        <item x="4"/>
        <item x="3"/>
        <item m="1" x="7"/>
        <item t="default"/>
      </items>
    </pivotField>
    <pivotField showAll="0"/>
    <pivotField showAll="0"/>
    <pivotField dataField="1" numFmtId="164" showAll="0"/>
    <pivotField numFmtId="164" showAll="0"/>
    <pivotField showAll="0"/>
    <pivotField showAll="0"/>
    <pivotField showAll="0"/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Сумма по полю Конечная цена для клиента" fld="7" baseField="0" baseItem="0"/>
  </dataFields>
  <formats count="2">
    <format dxfId="6">
      <pivotArea collapsedLevelsAreSubtotals="1" fieldPosition="0">
        <references count="1">
          <reference field="4" count="6">
            <x v="0"/>
            <x v="3"/>
            <x v="4"/>
            <x v="5"/>
            <x v="6"/>
            <x v="7"/>
          </reference>
        </references>
      </pivotArea>
    </format>
    <format dxfId="5">
      <pivotArea grandRow="1" outline="0" collapsedLevelsAreSubtotals="1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Менеджер" xr10:uid="{95ED1D30-AFA0-4D3A-917B-31040BD61B1C}" sourceName="Менеджер">
  <pivotTables>
    <pivotTable tabId="8" name="Продажи по месяцам"/>
    <pivotTable tabId="8" name="Продажи по видам"/>
    <pivotTable tabId="8" name="Итоговые суммы"/>
    <pivotTable tabId="8" name="Продажи по менеджерам"/>
  </pivotTables>
  <data>
    <tabular pivotCacheId="1824514165" showMissing="0" crossFilter="none">
      <items count="7">
        <i x="0" s="1"/>
        <i x="3" s="1"/>
        <i x="1" s="1"/>
        <i x="4" s="1"/>
        <i x="2" s="1"/>
        <i x="6" s="1"/>
        <i x="5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Месяц" xr10:uid="{EDE8D3A1-4AD9-42B3-8065-863C8ADE0E6D}" sourceName="Месяц">
  <pivotTables>
    <pivotTable tabId="8" name="Продажи по видам"/>
    <pivotTable tabId="8" name="Продажи по менеджерам"/>
    <pivotTable tabId="8" name="Итоговые суммы"/>
    <pivotTable tabId="8" name="Продажи по месяцам"/>
  </pivotTables>
  <data>
    <tabular pivotCacheId="1824514165" showMissing="0" crossFilter="none">
      <items count="1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Фабрика" xr10:uid="{F6EEEC30-CA04-4978-BBA3-C53D4192C36A}" sourceName="Фабрика">
  <pivotTables>
    <pivotTable tabId="8" name="Продажи по месяцам"/>
    <pivotTable tabId="8" name="Продажи по видам"/>
    <pivotTable tabId="8" name="Продажи по менеджерам"/>
    <pivotTable tabId="8" name="Итоговые суммы"/>
  </pivotTables>
  <data>
    <tabular pivotCacheId="1824514165" showMissing="0">
      <items count="16">
        <i x="0" s="1"/>
        <i x="13" s="1"/>
        <i x="2" s="1"/>
        <i x="12" s="1"/>
        <i x="8" s="1"/>
        <i x="1" s="1"/>
        <i x="4" s="1"/>
        <i x="7" s="1"/>
        <i x="6" s="1"/>
        <i x="11" s="1"/>
        <i x="9" s="1"/>
        <i x="10" s="1"/>
        <i x="14" s="1"/>
        <i x="3" s="1"/>
        <i x="5" s="1"/>
        <i x="15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Менеджер" xr10:uid="{D76424B9-113D-48AF-88AE-3B279038C1B1}" cache="Срез_Менеджер" caption="Менеджер" rowHeight="234950"/>
  <slicer name="Месяц" xr10:uid="{96C61BC5-8880-4FD2-B525-8C7A03A1E970}" cache="Срез_Месяц" caption="Месяц" rowHeight="180000"/>
  <slicer name="Фабрика" xr10:uid="{535233E6-9FBD-4B97-98CE-FFA9689A5955}" cache="Срез_Фабрика" caption="Фабрика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27C699-8BB8-46C7-8B2D-C8574F1D10AC}" name="Таблица1" displayName="Таблица1" ref="A1:L188" totalsRowShown="0" dataDxfId="19" headerRowBorderDxfId="20" tableBorderDxfId="18">
  <autoFilter ref="A1:L188" xr:uid="{A05C17BD-FEC5-4592-A75F-551C24C1C85F}"/>
  <tableColumns count="12">
    <tableColumn id="1" xr3:uid="{8ADED9D1-3014-4E4A-9AE2-DD91795DBD55}" name="Дата" dataDxfId="17"/>
    <tableColumn id="2" xr3:uid="{2FE9CF10-37CB-423C-A458-ECA368770771}" name="Месяц" dataDxfId="16"/>
    <tableColumn id="3" xr3:uid="{D86F5166-F407-4836-B4A0-2D4708289498}" name="Менеджер" dataDxfId="15"/>
    <tableColumn id="4" xr3:uid="{3C0F4103-184E-4FD1-B099-64B06AF7E1B1}" name="Фабрика" dataDxfId="14"/>
    <tableColumn id="5" xr3:uid="{BADB0190-3BAC-4286-A383-262B887784AD}" name="Вид мебели" dataDxfId="13"/>
    <tableColumn id="6" xr3:uid="{A22F420E-9A97-4E71-9B38-E08EBE9AA005}" name="Стиль" dataDxfId="12"/>
    <tableColumn id="7" xr3:uid="{18BD8950-227F-454B-96C1-56BDD1274D90}" name="Rif"/>
    <tableColumn id="8" xr3:uid="{6C63EF28-313C-41DC-BA76-80F5B717F9A8}" name="Конечная цена для клиента" dataDxfId="11"/>
    <tableColumn id="9" xr3:uid="{6E7BC5DC-C5E9-4833-A399-EA03A8A5655B}" name="К оплате поставщику" dataDxfId="10"/>
    <tableColumn id="10" xr3:uid="{119485D3-91E9-4A56-A302-41E1E8E9CEBD}" name="Транспорт и таможня" dataDxfId="9"/>
    <tableColumn id="11" xr3:uid="{C1D78273-6B61-437E-9298-46B45C33529E}" name="Ценовая кат" dataDxfId="8"/>
    <tableColumn id="12" xr3:uid="{020D8AA2-ED1B-4B80-9D61-A8397A43F5A7}" name="Прибыль факт" dataDxfId="7">
      <calculatedColumnFormula>H2-I2-J2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1ED2A-0D0C-4276-BF56-3804D5DE295C}">
  <dimension ref="A1:M188"/>
  <sheetViews>
    <sheetView workbookViewId="0">
      <pane ySplit="1" topLeftCell="A171" activePane="bottomLeft" state="frozen"/>
      <selection pane="bottomLeft" activeCell="H182" sqref="H182:J188"/>
    </sheetView>
  </sheetViews>
  <sheetFormatPr defaultRowHeight="15.6" x14ac:dyDescent="0.3"/>
  <cols>
    <col min="1" max="1" width="12.44140625" style="14" customWidth="1"/>
    <col min="2" max="2" width="12.44140625" style="18" customWidth="1"/>
    <col min="3" max="3" width="19.33203125" style="18" customWidth="1"/>
    <col min="4" max="4" width="13.109375" style="18" bestFit="1" customWidth="1"/>
    <col min="5" max="5" width="15.5546875" style="18" bestFit="1" customWidth="1"/>
    <col min="6" max="6" width="16.109375" style="18" bestFit="1" customWidth="1"/>
    <col min="7" max="7" width="45.6640625" style="14" bestFit="1" customWidth="1"/>
    <col min="8" max="8" width="15.77734375" style="14" customWidth="1"/>
    <col min="9" max="9" width="15" style="14" customWidth="1"/>
    <col min="10" max="10" width="15.109375" style="15" customWidth="1"/>
    <col min="11" max="11" width="12.6640625" style="18" customWidth="1"/>
    <col min="12" max="12" width="12.77734375" style="14" customWidth="1"/>
    <col min="13" max="13" width="14.44140625" style="14" bestFit="1" customWidth="1"/>
    <col min="14" max="16384" width="8.88671875" style="14"/>
  </cols>
  <sheetData>
    <row r="1" spans="1:12" s="1" customFormat="1" ht="31.2" x14ac:dyDescent="0.3">
      <c r="A1" s="19" t="s">
        <v>0</v>
      </c>
      <c r="B1" s="19" t="s">
        <v>168</v>
      </c>
      <c r="C1" s="19" t="s">
        <v>1</v>
      </c>
      <c r="D1" s="19" t="s">
        <v>2</v>
      </c>
      <c r="E1" s="19" t="s">
        <v>3</v>
      </c>
      <c r="F1" s="19" t="s">
        <v>4</v>
      </c>
      <c r="G1" s="20" t="s">
        <v>5</v>
      </c>
      <c r="H1" s="20" t="s">
        <v>6</v>
      </c>
      <c r="I1" s="20" t="s">
        <v>7</v>
      </c>
      <c r="J1" s="21" t="s">
        <v>8</v>
      </c>
      <c r="K1" s="19" t="s">
        <v>9</v>
      </c>
      <c r="L1" s="19" t="s">
        <v>193</v>
      </c>
    </row>
    <row r="2" spans="1:12" s="6" customFormat="1" ht="16.2" x14ac:dyDescent="0.3">
      <c r="A2" s="2">
        <v>40915</v>
      </c>
      <c r="B2" s="17" t="s">
        <v>169</v>
      </c>
      <c r="C2" s="17" t="s">
        <v>181</v>
      </c>
      <c r="D2" s="17" t="s">
        <v>10</v>
      </c>
      <c r="E2" s="17" t="s">
        <v>13</v>
      </c>
      <c r="F2" s="17" t="s">
        <v>184</v>
      </c>
      <c r="G2" s="4" t="s">
        <v>12</v>
      </c>
      <c r="H2" s="5">
        <v>356.52400000000006</v>
      </c>
      <c r="I2" s="5">
        <v>259</v>
      </c>
      <c r="J2" s="5">
        <v>43.32</v>
      </c>
      <c r="K2" s="17" t="s">
        <v>191</v>
      </c>
      <c r="L2" s="5">
        <f>H2-I2-J2</f>
        <v>54.204000000000057</v>
      </c>
    </row>
    <row r="3" spans="1:12" s="6" customFormat="1" ht="16.2" x14ac:dyDescent="0.3">
      <c r="A3" s="2">
        <v>40915</v>
      </c>
      <c r="B3" s="17" t="s">
        <v>169</v>
      </c>
      <c r="C3" s="17" t="s">
        <v>181</v>
      </c>
      <c r="D3" s="17" t="s">
        <v>10</v>
      </c>
      <c r="E3" s="17" t="s">
        <v>13</v>
      </c>
      <c r="F3" s="17" t="s">
        <v>184</v>
      </c>
      <c r="G3" s="4" t="s">
        <v>14</v>
      </c>
      <c r="H3" s="5">
        <v>4123.3999999999996</v>
      </c>
      <c r="I3" s="5">
        <v>2044.65</v>
      </c>
      <c r="J3" s="5">
        <v>817.81333333333328</v>
      </c>
      <c r="K3" s="17" t="s">
        <v>191</v>
      </c>
      <c r="L3" s="5">
        <f t="shared" ref="L3:L78" si="0">H3-I3-J3</f>
        <v>1260.9366666666663</v>
      </c>
    </row>
    <row r="4" spans="1:12" s="6" customFormat="1" ht="16.2" x14ac:dyDescent="0.3">
      <c r="A4" s="10">
        <v>40918</v>
      </c>
      <c r="B4" s="17" t="s">
        <v>169</v>
      </c>
      <c r="C4" s="17" t="s">
        <v>189</v>
      </c>
      <c r="D4" s="17" t="s">
        <v>29</v>
      </c>
      <c r="E4" s="17" t="s">
        <v>30</v>
      </c>
      <c r="F4" s="17" t="s">
        <v>185</v>
      </c>
      <c r="G4" s="11" t="s">
        <v>166</v>
      </c>
      <c r="H4" s="5">
        <v>8518.48</v>
      </c>
      <c r="I4" s="8">
        <v>2412.56</v>
      </c>
      <c r="J4" s="8">
        <v>2885.49</v>
      </c>
      <c r="K4" s="17" t="s">
        <v>187</v>
      </c>
      <c r="L4" s="5">
        <f t="shared" si="0"/>
        <v>3220.4300000000003</v>
      </c>
    </row>
    <row r="5" spans="1:12" s="6" customFormat="1" ht="16.2" x14ac:dyDescent="0.3">
      <c r="A5" s="2">
        <v>40923</v>
      </c>
      <c r="B5" s="17" t="s">
        <v>169</v>
      </c>
      <c r="C5" s="17" t="s">
        <v>182</v>
      </c>
      <c r="D5" s="17" t="s">
        <v>20</v>
      </c>
      <c r="E5" s="17" t="s">
        <v>21</v>
      </c>
      <c r="F5" s="17" t="s">
        <v>185</v>
      </c>
      <c r="G5" s="4" t="s">
        <v>22</v>
      </c>
      <c r="H5" s="5">
        <v>7110.34</v>
      </c>
      <c r="I5" s="5">
        <v>2784.47</v>
      </c>
      <c r="J5" s="5">
        <v>2235.5100000000002</v>
      </c>
      <c r="K5" s="17" t="s">
        <v>192</v>
      </c>
      <c r="L5" s="5">
        <f t="shared" si="0"/>
        <v>2090.3600000000006</v>
      </c>
    </row>
    <row r="6" spans="1:12" s="6" customFormat="1" ht="16.2" x14ac:dyDescent="0.3">
      <c r="A6" s="2"/>
      <c r="B6" s="17" t="s">
        <v>169</v>
      </c>
      <c r="C6" s="17" t="s">
        <v>183</v>
      </c>
      <c r="D6" s="17" t="s">
        <v>32</v>
      </c>
      <c r="E6" s="17" t="s">
        <v>21</v>
      </c>
      <c r="F6" s="17" t="s">
        <v>186</v>
      </c>
      <c r="G6" s="4"/>
      <c r="H6" s="5">
        <v>0</v>
      </c>
      <c r="I6" s="5">
        <v>0</v>
      </c>
      <c r="J6" s="5">
        <v>0</v>
      </c>
      <c r="K6" s="17"/>
      <c r="L6" s="5">
        <f t="shared" si="0"/>
        <v>0</v>
      </c>
    </row>
    <row r="7" spans="1:12" s="6" customFormat="1" ht="16.2" x14ac:dyDescent="0.3">
      <c r="A7" s="2">
        <v>40933</v>
      </c>
      <c r="B7" s="17" t="s">
        <v>169</v>
      </c>
      <c r="C7" s="17" t="s">
        <v>181</v>
      </c>
      <c r="D7" s="17" t="s">
        <v>10</v>
      </c>
      <c r="E7" s="17" t="s">
        <v>13</v>
      </c>
      <c r="F7" s="17" t="s">
        <v>184</v>
      </c>
      <c r="G7" s="4" t="s">
        <v>23</v>
      </c>
      <c r="H7" s="5">
        <v>2554.33</v>
      </c>
      <c r="I7" s="5">
        <v>1357.23</v>
      </c>
      <c r="J7" s="5">
        <v>886.5</v>
      </c>
      <c r="K7" s="17" t="s">
        <v>187</v>
      </c>
      <c r="L7" s="5">
        <f t="shared" si="0"/>
        <v>310.59999999999991</v>
      </c>
    </row>
    <row r="8" spans="1:12" s="6" customFormat="1" ht="16.2" x14ac:dyDescent="0.3">
      <c r="A8" s="2"/>
      <c r="B8" s="17" t="s">
        <v>169</v>
      </c>
      <c r="C8" s="17" t="s">
        <v>197</v>
      </c>
      <c r="D8" s="17" t="s">
        <v>32</v>
      </c>
      <c r="E8" s="17" t="s">
        <v>21</v>
      </c>
      <c r="F8" s="17" t="s">
        <v>186</v>
      </c>
      <c r="G8" s="4"/>
      <c r="H8" s="5">
        <v>0</v>
      </c>
      <c r="I8" s="5">
        <v>0</v>
      </c>
      <c r="J8" s="5">
        <v>0</v>
      </c>
      <c r="K8" s="17"/>
      <c r="L8" s="5"/>
    </row>
    <row r="9" spans="1:12" s="6" customFormat="1" ht="16.2" x14ac:dyDescent="0.3">
      <c r="A9" s="2">
        <v>40949</v>
      </c>
      <c r="B9" s="17" t="s">
        <v>170</v>
      </c>
      <c r="C9" s="17" t="s">
        <v>181</v>
      </c>
      <c r="D9" s="17" t="s">
        <v>10</v>
      </c>
      <c r="E9" s="17" t="s">
        <v>13</v>
      </c>
      <c r="F9" s="17" t="s">
        <v>184</v>
      </c>
      <c r="G9" s="4" t="s">
        <v>15</v>
      </c>
      <c r="H9" s="5">
        <v>2864.21</v>
      </c>
      <c r="I9" s="5">
        <v>1509</v>
      </c>
      <c r="J9" s="5">
        <v>9.8086807538549419</v>
      </c>
      <c r="K9" s="17" t="s">
        <v>187</v>
      </c>
      <c r="L9" s="5">
        <f t="shared" si="0"/>
        <v>1345.401319246145</v>
      </c>
    </row>
    <row r="10" spans="1:12" s="6" customFormat="1" ht="16.2" x14ac:dyDescent="0.3">
      <c r="A10" s="2"/>
      <c r="B10" s="17" t="s">
        <v>170</v>
      </c>
      <c r="C10" s="17" t="s">
        <v>182</v>
      </c>
      <c r="D10" s="17" t="s">
        <v>32</v>
      </c>
      <c r="E10" s="17" t="s">
        <v>21</v>
      </c>
      <c r="F10" s="17" t="s">
        <v>186</v>
      </c>
      <c r="G10" s="4"/>
      <c r="H10" s="5">
        <v>0</v>
      </c>
      <c r="I10" s="5">
        <v>0</v>
      </c>
      <c r="J10" s="5">
        <v>0</v>
      </c>
      <c r="K10" s="17"/>
      <c r="L10" s="5">
        <v>0</v>
      </c>
    </row>
    <row r="11" spans="1:12" s="6" customFormat="1" ht="16.2" x14ac:dyDescent="0.3">
      <c r="A11" s="2"/>
      <c r="B11" s="17" t="s">
        <v>170</v>
      </c>
      <c r="C11" s="17" t="s">
        <v>183</v>
      </c>
      <c r="D11" s="17" t="s">
        <v>32</v>
      </c>
      <c r="E11" s="17" t="s">
        <v>21</v>
      </c>
      <c r="F11" s="17" t="s">
        <v>186</v>
      </c>
      <c r="G11" s="4"/>
      <c r="H11" s="5">
        <v>0</v>
      </c>
      <c r="I11" s="5">
        <v>0</v>
      </c>
      <c r="J11" s="5">
        <v>0</v>
      </c>
      <c r="K11" s="17"/>
      <c r="L11" s="5">
        <v>0</v>
      </c>
    </row>
    <row r="12" spans="1:12" s="6" customFormat="1" ht="16.2" x14ac:dyDescent="0.3">
      <c r="A12" s="2"/>
      <c r="B12" s="17" t="s">
        <v>170</v>
      </c>
      <c r="C12" s="17" t="s">
        <v>197</v>
      </c>
      <c r="D12" s="17" t="s">
        <v>32</v>
      </c>
      <c r="E12" s="17" t="s">
        <v>21</v>
      </c>
      <c r="F12" s="17" t="s">
        <v>186</v>
      </c>
      <c r="G12" s="4"/>
      <c r="H12" s="5">
        <v>0</v>
      </c>
      <c r="I12" s="5">
        <v>0</v>
      </c>
      <c r="J12" s="5">
        <v>0</v>
      </c>
      <c r="K12" s="17"/>
      <c r="L12" s="5">
        <v>0</v>
      </c>
    </row>
    <row r="13" spans="1:12" s="6" customFormat="1" ht="16.2" x14ac:dyDescent="0.3">
      <c r="A13" s="2"/>
      <c r="B13" s="17" t="s">
        <v>170</v>
      </c>
      <c r="C13" s="17" t="s">
        <v>189</v>
      </c>
      <c r="D13" s="17" t="s">
        <v>32</v>
      </c>
      <c r="E13" s="17" t="s">
        <v>21</v>
      </c>
      <c r="F13" s="17" t="s">
        <v>186</v>
      </c>
      <c r="G13" s="4"/>
      <c r="H13" s="5">
        <v>0</v>
      </c>
      <c r="I13" s="5">
        <v>0</v>
      </c>
      <c r="J13" s="5">
        <v>0</v>
      </c>
      <c r="K13" s="17"/>
      <c r="L13" s="5">
        <v>0</v>
      </c>
    </row>
    <row r="14" spans="1:12" s="6" customFormat="1" ht="16.2" x14ac:dyDescent="0.3">
      <c r="A14" s="2">
        <v>40952</v>
      </c>
      <c r="B14" s="17" t="s">
        <v>170</v>
      </c>
      <c r="C14" s="17" t="s">
        <v>181</v>
      </c>
      <c r="D14" s="17" t="s">
        <v>10</v>
      </c>
      <c r="E14" s="17" t="s">
        <v>13</v>
      </c>
      <c r="F14" s="17" t="s">
        <v>184</v>
      </c>
      <c r="G14" s="3" t="s">
        <v>43</v>
      </c>
      <c r="H14" s="5">
        <f>471.24+989.06</f>
        <v>1460.3</v>
      </c>
      <c r="I14" s="5">
        <v>698</v>
      </c>
      <c r="J14" s="5">
        <v>95.5</v>
      </c>
      <c r="K14" s="17" t="s">
        <v>187</v>
      </c>
      <c r="L14" s="5">
        <f t="shared" si="0"/>
        <v>666.8</v>
      </c>
    </row>
    <row r="15" spans="1:12" s="6" customFormat="1" ht="16.2" x14ac:dyDescent="0.3">
      <c r="A15" s="2">
        <v>40974</v>
      </c>
      <c r="B15" s="17" t="s">
        <v>171</v>
      </c>
      <c r="C15" s="17" t="s">
        <v>181</v>
      </c>
      <c r="D15" s="17" t="s">
        <v>10</v>
      </c>
      <c r="E15" s="17" t="s">
        <v>13</v>
      </c>
      <c r="F15" s="17" t="s">
        <v>184</v>
      </c>
      <c r="G15" s="4" t="s">
        <v>19</v>
      </c>
      <c r="H15" s="5">
        <v>4456</v>
      </c>
      <c r="I15" s="5">
        <v>1223.0899999999999</v>
      </c>
      <c r="J15" s="5">
        <v>98.086807538549408</v>
      </c>
      <c r="K15" s="17" t="s">
        <v>187</v>
      </c>
      <c r="L15" s="5">
        <f t="shared" si="0"/>
        <v>3134.8231924614506</v>
      </c>
    </row>
    <row r="16" spans="1:12" s="6" customFormat="1" ht="16.2" x14ac:dyDescent="0.3">
      <c r="A16" s="2">
        <v>40975</v>
      </c>
      <c r="B16" s="17" t="s">
        <v>171</v>
      </c>
      <c r="C16" s="17" t="s">
        <v>183</v>
      </c>
      <c r="D16" s="17" t="s">
        <v>29</v>
      </c>
      <c r="E16" s="17" t="s">
        <v>30</v>
      </c>
      <c r="F16" s="17" t="s">
        <v>185</v>
      </c>
      <c r="G16" s="3" t="s">
        <v>36</v>
      </c>
      <c r="H16" s="5">
        <v>4445.72</v>
      </c>
      <c r="I16" s="5">
        <v>1837.85</v>
      </c>
      <c r="J16" s="5">
        <v>2211.6</v>
      </c>
      <c r="K16" s="17" t="s">
        <v>187</v>
      </c>
      <c r="L16" s="5">
        <f t="shared" si="0"/>
        <v>396.27000000000044</v>
      </c>
    </row>
    <row r="17" spans="1:12" s="6" customFormat="1" ht="16.2" x14ac:dyDescent="0.3">
      <c r="A17" s="2">
        <v>40975</v>
      </c>
      <c r="B17" s="17" t="s">
        <v>171</v>
      </c>
      <c r="C17" s="17" t="s">
        <v>197</v>
      </c>
      <c r="D17" s="17" t="s">
        <v>32</v>
      </c>
      <c r="E17" s="17" t="s">
        <v>33</v>
      </c>
      <c r="F17" s="17" t="s">
        <v>185</v>
      </c>
      <c r="G17" s="3" t="s">
        <v>36</v>
      </c>
      <c r="H17" s="5">
        <v>4050.04</v>
      </c>
      <c r="I17" s="5">
        <v>2445.31</v>
      </c>
      <c r="J17" s="5">
        <v>1190</v>
      </c>
      <c r="K17" s="17" t="s">
        <v>191</v>
      </c>
      <c r="L17" s="5">
        <f t="shared" si="0"/>
        <v>414.73</v>
      </c>
    </row>
    <row r="18" spans="1:12" s="6" customFormat="1" ht="16.2" x14ac:dyDescent="0.3">
      <c r="A18" s="2">
        <v>40975</v>
      </c>
      <c r="B18" s="17" t="s">
        <v>171</v>
      </c>
      <c r="C18" s="17" t="s">
        <v>181</v>
      </c>
      <c r="D18" s="17" t="s">
        <v>10</v>
      </c>
      <c r="E18" s="17" t="s">
        <v>13</v>
      </c>
      <c r="F18" s="17" t="s">
        <v>184</v>
      </c>
      <c r="G18" s="3" t="s">
        <v>37</v>
      </c>
      <c r="H18" s="5">
        <v>771.36</v>
      </c>
      <c r="I18" s="5">
        <v>425.82</v>
      </c>
      <c r="J18" s="5">
        <v>207.18285789266503</v>
      </c>
      <c r="K18" s="17" t="s">
        <v>187</v>
      </c>
      <c r="L18" s="5">
        <f t="shared" si="0"/>
        <v>138.35714210733499</v>
      </c>
    </row>
    <row r="19" spans="1:12" s="6" customFormat="1" ht="16.2" x14ac:dyDescent="0.3">
      <c r="A19" s="2">
        <v>40975</v>
      </c>
      <c r="B19" s="17" t="s">
        <v>171</v>
      </c>
      <c r="C19" s="17" t="s">
        <v>181</v>
      </c>
      <c r="D19" s="17" t="s">
        <v>10</v>
      </c>
      <c r="E19" s="17" t="s">
        <v>13</v>
      </c>
      <c r="F19" s="17" t="s">
        <v>184</v>
      </c>
      <c r="G19" s="3" t="s">
        <v>38</v>
      </c>
      <c r="H19" s="5">
        <v>2010.03</v>
      </c>
      <c r="I19" s="5">
        <v>1006.42</v>
      </c>
      <c r="J19" s="5">
        <v>489.67397454402311</v>
      </c>
      <c r="K19" s="17" t="s">
        <v>187</v>
      </c>
      <c r="L19" s="5">
        <f t="shared" si="0"/>
        <v>513.93602545597696</v>
      </c>
    </row>
    <row r="20" spans="1:12" s="6" customFormat="1" ht="16.2" x14ac:dyDescent="0.3">
      <c r="A20" s="2">
        <v>40975</v>
      </c>
      <c r="B20" s="17" t="s">
        <v>171</v>
      </c>
      <c r="C20" s="17" t="s">
        <v>181</v>
      </c>
      <c r="D20" s="17" t="s">
        <v>10</v>
      </c>
      <c r="E20" s="17" t="s">
        <v>13</v>
      </c>
      <c r="F20" s="17" t="s">
        <v>184</v>
      </c>
      <c r="G20" s="3" t="s">
        <v>39</v>
      </c>
      <c r="H20" s="5">
        <v>2084.17</v>
      </c>
      <c r="I20" s="5">
        <v>1150.74</v>
      </c>
      <c r="J20" s="5">
        <v>559.89291694003418</v>
      </c>
      <c r="K20" s="17" t="s">
        <v>187</v>
      </c>
      <c r="L20" s="5">
        <f t="shared" si="0"/>
        <v>373.53708305996588</v>
      </c>
    </row>
    <row r="21" spans="1:12" s="6" customFormat="1" ht="16.2" x14ac:dyDescent="0.3">
      <c r="A21" s="2">
        <v>40975</v>
      </c>
      <c r="B21" s="17" t="s">
        <v>171</v>
      </c>
      <c r="C21" s="17" t="s">
        <v>181</v>
      </c>
      <c r="D21" s="17" t="s">
        <v>10</v>
      </c>
      <c r="E21" s="17" t="s">
        <v>13</v>
      </c>
      <c r="F21" s="17" t="s">
        <v>184</v>
      </c>
      <c r="G21" s="3" t="s">
        <v>40</v>
      </c>
      <c r="H21" s="5">
        <v>2514.83</v>
      </c>
      <c r="I21" s="5">
        <v>1379.94</v>
      </c>
      <c r="J21" s="5">
        <v>671.41025062327776</v>
      </c>
      <c r="K21" s="17" t="s">
        <v>187</v>
      </c>
      <c r="L21" s="5">
        <f t="shared" si="0"/>
        <v>463.47974937672211</v>
      </c>
    </row>
    <row r="22" spans="1:12" s="6" customFormat="1" ht="16.2" x14ac:dyDescent="0.3">
      <c r="A22" s="2">
        <v>40975</v>
      </c>
      <c r="B22" s="17" t="s">
        <v>171</v>
      </c>
      <c r="C22" s="17" t="s">
        <v>183</v>
      </c>
      <c r="D22" s="17" t="s">
        <v>20</v>
      </c>
      <c r="E22" s="17" t="s">
        <v>21</v>
      </c>
      <c r="F22" s="17" t="s">
        <v>185</v>
      </c>
      <c r="G22" s="3" t="s">
        <v>41</v>
      </c>
      <c r="H22" s="5">
        <v>7531.9859999999999</v>
      </c>
      <c r="I22" s="5">
        <f>2646.34+797.09</f>
        <v>3443.4300000000003</v>
      </c>
      <c r="J22" s="5">
        <v>2841.42</v>
      </c>
      <c r="K22" s="17" t="s">
        <v>192</v>
      </c>
      <c r="L22" s="5">
        <f t="shared" si="0"/>
        <v>1247.1359999999995</v>
      </c>
    </row>
    <row r="23" spans="1:12" s="6" customFormat="1" ht="16.2" x14ac:dyDescent="0.3">
      <c r="A23" s="2">
        <v>40989</v>
      </c>
      <c r="B23" s="17" t="s">
        <v>171</v>
      </c>
      <c r="C23" s="17" t="s">
        <v>182</v>
      </c>
      <c r="D23" s="17" t="s">
        <v>10</v>
      </c>
      <c r="E23" s="17" t="s">
        <v>13</v>
      </c>
      <c r="F23" s="17" t="s">
        <v>184</v>
      </c>
      <c r="G23" s="4" t="s">
        <v>18</v>
      </c>
      <c r="H23" s="5">
        <v>3376.8</v>
      </c>
      <c r="I23" s="5">
        <v>1070.3699999999999</v>
      </c>
      <c r="J23" s="5">
        <v>387.61</v>
      </c>
      <c r="K23" s="17" t="s">
        <v>187</v>
      </c>
      <c r="L23" s="5">
        <f t="shared" si="0"/>
        <v>1918.8200000000002</v>
      </c>
    </row>
    <row r="24" spans="1:12" s="6" customFormat="1" ht="16.2" x14ac:dyDescent="0.3">
      <c r="A24" s="2">
        <v>40990</v>
      </c>
      <c r="B24" s="17" t="s">
        <v>171</v>
      </c>
      <c r="C24" s="17" t="s">
        <v>182</v>
      </c>
      <c r="D24" s="17" t="s">
        <v>188</v>
      </c>
      <c r="E24" s="17" t="s">
        <v>21</v>
      </c>
      <c r="F24" s="17" t="s">
        <v>186</v>
      </c>
      <c r="G24" s="4"/>
      <c r="H24" s="5">
        <v>7686</v>
      </c>
      <c r="I24" s="5">
        <v>3547</v>
      </c>
      <c r="J24" s="5">
        <v>1390</v>
      </c>
      <c r="K24" s="17" t="s">
        <v>192</v>
      </c>
      <c r="L24" s="5">
        <f t="shared" si="0"/>
        <v>2749</v>
      </c>
    </row>
    <row r="25" spans="1:12" s="6" customFormat="1" ht="16.2" x14ac:dyDescent="0.3">
      <c r="A25" s="2">
        <v>40995</v>
      </c>
      <c r="B25" s="17" t="s">
        <v>171</v>
      </c>
      <c r="C25" s="17" t="s">
        <v>182</v>
      </c>
      <c r="D25" s="17" t="s">
        <v>10</v>
      </c>
      <c r="E25" s="17" t="s">
        <v>13</v>
      </c>
      <c r="F25" s="17" t="s">
        <v>184</v>
      </c>
      <c r="G25" s="4" t="s">
        <v>16</v>
      </c>
      <c r="H25" s="5">
        <v>3945</v>
      </c>
      <c r="I25" s="5">
        <v>1061.23</v>
      </c>
      <c r="J25" s="5">
        <v>196.17361507709882</v>
      </c>
      <c r="K25" s="17" t="s">
        <v>187</v>
      </c>
      <c r="L25" s="5">
        <f t="shared" si="0"/>
        <v>2687.5963849229011</v>
      </c>
    </row>
    <row r="26" spans="1:12" s="6" customFormat="1" ht="16.2" x14ac:dyDescent="0.3">
      <c r="A26" s="2">
        <v>40996</v>
      </c>
      <c r="B26" s="17" t="s">
        <v>171</v>
      </c>
      <c r="C26" s="17" t="s">
        <v>183</v>
      </c>
      <c r="D26" s="17" t="s">
        <v>20</v>
      </c>
      <c r="E26" s="17" t="s">
        <v>21</v>
      </c>
      <c r="F26" s="17" t="s">
        <v>185</v>
      </c>
      <c r="G26" s="3" t="s">
        <v>44</v>
      </c>
      <c r="H26" s="5">
        <v>3913.74</v>
      </c>
      <c r="I26" s="5">
        <v>3994.48</v>
      </c>
      <c r="J26" s="5">
        <v>4053.08</v>
      </c>
      <c r="K26" s="17" t="s">
        <v>192</v>
      </c>
      <c r="L26" s="5">
        <f t="shared" si="0"/>
        <v>-4133.82</v>
      </c>
    </row>
    <row r="27" spans="1:12" s="6" customFormat="1" ht="16.2" x14ac:dyDescent="0.3">
      <c r="A27" s="2">
        <v>40996</v>
      </c>
      <c r="B27" s="17" t="s">
        <v>171</v>
      </c>
      <c r="C27" s="17" t="s">
        <v>197</v>
      </c>
      <c r="D27" s="17" t="s">
        <v>29</v>
      </c>
      <c r="E27" s="17" t="s">
        <v>30</v>
      </c>
      <c r="F27" s="17" t="s">
        <v>185</v>
      </c>
      <c r="G27" s="3" t="s">
        <v>45</v>
      </c>
      <c r="H27" s="5">
        <v>3246.64</v>
      </c>
      <c r="I27" s="5">
        <v>2166.64</v>
      </c>
      <c r="J27" s="5">
        <v>1930.4508474576269</v>
      </c>
      <c r="K27" s="17" t="s">
        <v>187</v>
      </c>
      <c r="L27" s="5">
        <f t="shared" si="0"/>
        <v>-850.45084745762688</v>
      </c>
    </row>
    <row r="28" spans="1:12" s="6" customFormat="1" ht="16.2" x14ac:dyDescent="0.3">
      <c r="A28" s="2"/>
      <c r="B28" s="17" t="s">
        <v>171</v>
      </c>
      <c r="C28" s="17" t="s">
        <v>189</v>
      </c>
      <c r="D28" s="17" t="s">
        <v>32</v>
      </c>
      <c r="E28" s="17" t="s">
        <v>21</v>
      </c>
      <c r="F28" s="17" t="s">
        <v>186</v>
      </c>
      <c r="G28" s="3"/>
      <c r="H28" s="5">
        <v>0</v>
      </c>
      <c r="I28" s="5">
        <v>0</v>
      </c>
      <c r="J28" s="5">
        <v>0</v>
      </c>
      <c r="K28" s="17"/>
      <c r="L28" s="5">
        <f t="shared" si="0"/>
        <v>0</v>
      </c>
    </row>
    <row r="29" spans="1:12" s="6" customFormat="1" ht="16.2" x14ac:dyDescent="0.3">
      <c r="A29" s="2">
        <v>40997</v>
      </c>
      <c r="B29" s="17" t="s">
        <v>171</v>
      </c>
      <c r="C29" s="17" t="s">
        <v>181</v>
      </c>
      <c r="D29" s="17" t="s">
        <v>10</v>
      </c>
      <c r="E29" s="17" t="s">
        <v>13</v>
      </c>
      <c r="F29" s="17" t="s">
        <v>184</v>
      </c>
      <c r="G29" s="4" t="s">
        <v>17</v>
      </c>
      <c r="H29" s="5">
        <v>1354.82</v>
      </c>
      <c r="I29" s="5">
        <v>646.52</v>
      </c>
      <c r="J29" s="5">
        <v>196.17361507709882</v>
      </c>
      <c r="K29" s="17" t="s">
        <v>187</v>
      </c>
      <c r="L29" s="5">
        <f t="shared" si="0"/>
        <v>512.12638492290114</v>
      </c>
    </row>
    <row r="30" spans="1:12" s="6" customFormat="1" ht="16.2" x14ac:dyDescent="0.3">
      <c r="A30" s="2">
        <v>41016</v>
      </c>
      <c r="B30" s="17" t="s">
        <v>172</v>
      </c>
      <c r="C30" s="17" t="s">
        <v>183</v>
      </c>
      <c r="D30" s="17" t="s">
        <v>20</v>
      </c>
      <c r="E30" s="17" t="s">
        <v>21</v>
      </c>
      <c r="F30" s="17" t="s">
        <v>185</v>
      </c>
      <c r="G30" s="3" t="s">
        <v>35</v>
      </c>
      <c r="H30" s="5">
        <v>11737</v>
      </c>
      <c r="I30" s="5">
        <f>7517.75*0.5*0.85*0.95+102.55</f>
        <v>3137.8415624999998</v>
      </c>
      <c r="J30" s="5">
        <v>3278.23</v>
      </c>
      <c r="K30" s="17" t="s">
        <v>192</v>
      </c>
      <c r="L30" s="5">
        <f t="shared" si="0"/>
        <v>5320.9284375000007</v>
      </c>
    </row>
    <row r="31" spans="1:12" s="6" customFormat="1" ht="16.2" x14ac:dyDescent="0.3">
      <c r="A31" s="2">
        <v>41017</v>
      </c>
      <c r="B31" s="17" t="s">
        <v>172</v>
      </c>
      <c r="C31" s="17" t="s">
        <v>182</v>
      </c>
      <c r="D31" s="17" t="s">
        <v>10</v>
      </c>
      <c r="E31" s="17" t="s">
        <v>11</v>
      </c>
      <c r="F31" s="17" t="s">
        <v>184</v>
      </c>
      <c r="G31" s="3" t="s">
        <v>42</v>
      </c>
      <c r="H31" s="5">
        <v>3352.31</v>
      </c>
      <c r="I31" s="5">
        <v>1103.8</v>
      </c>
      <c r="J31" s="5">
        <v>353.11250713877786</v>
      </c>
      <c r="K31" s="17" t="s">
        <v>187</v>
      </c>
      <c r="L31" s="5">
        <f t="shared" si="0"/>
        <v>1895.3974928612224</v>
      </c>
    </row>
    <row r="32" spans="1:12" s="6" customFormat="1" ht="16.2" x14ac:dyDescent="0.3">
      <c r="A32" s="2">
        <v>41019</v>
      </c>
      <c r="B32" s="17" t="s">
        <v>172</v>
      </c>
      <c r="C32" s="17" t="s">
        <v>181</v>
      </c>
      <c r="D32" s="17" t="s">
        <v>10</v>
      </c>
      <c r="E32" s="17" t="s">
        <v>13</v>
      </c>
      <c r="F32" s="17" t="s">
        <v>184</v>
      </c>
      <c r="G32" s="4" t="s">
        <v>46</v>
      </c>
      <c r="H32" s="5">
        <v>4567.2700000000004</v>
      </c>
      <c r="I32" s="5">
        <f>1675.55+503.14</f>
        <v>2178.69</v>
      </c>
      <c r="J32" s="5">
        <v>387.61</v>
      </c>
      <c r="K32" s="17" t="s">
        <v>187</v>
      </c>
      <c r="L32" s="5">
        <f t="shared" si="0"/>
        <v>2000.9700000000003</v>
      </c>
    </row>
    <row r="33" spans="1:12" s="6" customFormat="1" ht="16.2" x14ac:dyDescent="0.3">
      <c r="A33" s="2">
        <v>41019</v>
      </c>
      <c r="B33" s="17" t="s">
        <v>172</v>
      </c>
      <c r="C33" s="17" t="s">
        <v>181</v>
      </c>
      <c r="D33" s="17" t="s">
        <v>10</v>
      </c>
      <c r="E33" s="17" t="s">
        <v>13</v>
      </c>
      <c r="F33" s="17" t="s">
        <v>184</v>
      </c>
      <c r="G33" s="3" t="s">
        <v>47</v>
      </c>
      <c r="H33" s="5">
        <v>3008.61</v>
      </c>
      <c r="I33" s="5">
        <v>776.57</v>
      </c>
      <c r="J33" s="5">
        <v>186.36493432324389</v>
      </c>
      <c r="K33" s="17" t="s">
        <v>187</v>
      </c>
      <c r="L33" s="5">
        <f t="shared" si="0"/>
        <v>2045.675065676756</v>
      </c>
    </row>
    <row r="34" spans="1:12" s="6" customFormat="1" ht="16.2" x14ac:dyDescent="0.3">
      <c r="A34" s="2">
        <v>41019</v>
      </c>
      <c r="B34" s="17" t="s">
        <v>172</v>
      </c>
      <c r="C34" s="17" t="s">
        <v>181</v>
      </c>
      <c r="D34" s="17" t="s">
        <v>10</v>
      </c>
      <c r="E34" s="17" t="s">
        <v>13</v>
      </c>
      <c r="F34" s="17" t="s">
        <v>184</v>
      </c>
      <c r="G34" s="3" t="s">
        <v>48</v>
      </c>
      <c r="H34" s="5">
        <v>1369.53</v>
      </c>
      <c r="I34" s="5">
        <v>374.76</v>
      </c>
      <c r="J34" s="5">
        <v>98.086807538549408</v>
      </c>
      <c r="K34" s="17" t="s">
        <v>187</v>
      </c>
      <c r="L34" s="5">
        <f t="shared" si="0"/>
        <v>896.68319246145052</v>
      </c>
    </row>
    <row r="35" spans="1:12" s="6" customFormat="1" ht="16.2" x14ac:dyDescent="0.3">
      <c r="A35" s="2">
        <v>41022</v>
      </c>
      <c r="B35" s="17" t="s">
        <v>172</v>
      </c>
      <c r="C35" s="17" t="s">
        <v>197</v>
      </c>
      <c r="D35" s="17" t="s">
        <v>32</v>
      </c>
      <c r="E35" s="17" t="s">
        <v>33</v>
      </c>
      <c r="F35" s="17" t="s">
        <v>185</v>
      </c>
      <c r="G35" s="3" t="s">
        <v>49</v>
      </c>
      <c r="H35" s="5">
        <v>1156</v>
      </c>
      <c r="I35" s="5">
        <v>306</v>
      </c>
      <c r="J35" s="5">
        <v>178.07692307692309</v>
      </c>
      <c r="K35" s="17" t="s">
        <v>191</v>
      </c>
      <c r="L35" s="5">
        <f t="shared" si="0"/>
        <v>671.92307692307691</v>
      </c>
    </row>
    <row r="36" spans="1:12" s="6" customFormat="1" ht="16.2" x14ac:dyDescent="0.3">
      <c r="A36" s="2">
        <v>41024</v>
      </c>
      <c r="B36" s="17" t="s">
        <v>172</v>
      </c>
      <c r="C36" s="17" t="s">
        <v>197</v>
      </c>
      <c r="D36" s="17" t="s">
        <v>32</v>
      </c>
      <c r="E36" s="17" t="s">
        <v>33</v>
      </c>
      <c r="F36" s="17" t="s">
        <v>185</v>
      </c>
      <c r="G36" s="3" t="s">
        <v>50</v>
      </c>
      <c r="H36" s="5">
        <v>10203.01</v>
      </c>
      <c r="I36" s="5">
        <v>5040</v>
      </c>
      <c r="J36" s="5">
        <v>3917.6923076923076</v>
      </c>
      <c r="K36" s="17" t="s">
        <v>191</v>
      </c>
      <c r="L36" s="5">
        <f t="shared" si="0"/>
        <v>1245.3176923076926</v>
      </c>
    </row>
    <row r="37" spans="1:12" s="6" customFormat="1" ht="16.2" x14ac:dyDescent="0.3">
      <c r="A37" s="2">
        <v>41027</v>
      </c>
      <c r="B37" s="17" t="s">
        <v>172</v>
      </c>
      <c r="C37" s="17" t="s">
        <v>183</v>
      </c>
      <c r="D37" s="17" t="s">
        <v>29</v>
      </c>
      <c r="E37" s="17" t="s">
        <v>30</v>
      </c>
      <c r="F37" s="17" t="s">
        <v>185</v>
      </c>
      <c r="G37" s="3" t="s">
        <v>31</v>
      </c>
      <c r="H37" s="5">
        <v>4555.4399999999996</v>
      </c>
      <c r="I37" s="5">
        <v>1004.88</v>
      </c>
      <c r="J37" s="5">
        <v>1419.4491525423732</v>
      </c>
      <c r="K37" s="17" t="s">
        <v>187</v>
      </c>
      <c r="L37" s="5">
        <f t="shared" si="0"/>
        <v>2131.1108474576263</v>
      </c>
    </row>
    <row r="38" spans="1:12" s="6" customFormat="1" ht="16.2" x14ac:dyDescent="0.3">
      <c r="A38" s="2">
        <v>41027</v>
      </c>
      <c r="B38" s="17" t="s">
        <v>172</v>
      </c>
      <c r="C38" s="17" t="s">
        <v>197</v>
      </c>
      <c r="D38" s="17" t="s">
        <v>32</v>
      </c>
      <c r="E38" s="17" t="s">
        <v>33</v>
      </c>
      <c r="F38" s="17" t="s">
        <v>185</v>
      </c>
      <c r="G38" s="3" t="s">
        <v>51</v>
      </c>
      <c r="H38" s="5">
        <v>2288.5509999999999</v>
      </c>
      <c r="I38" s="5">
        <v>807.85</v>
      </c>
      <c r="J38" s="5">
        <v>253.85</v>
      </c>
      <c r="K38" s="17" t="s">
        <v>191</v>
      </c>
      <c r="L38" s="5">
        <f t="shared" si="0"/>
        <v>1226.8510000000001</v>
      </c>
    </row>
    <row r="39" spans="1:12" s="6" customFormat="1" ht="16.2" x14ac:dyDescent="0.3">
      <c r="A39" s="2">
        <v>41027</v>
      </c>
      <c r="B39" s="17" t="s">
        <v>172</v>
      </c>
      <c r="C39" s="17" t="s">
        <v>197</v>
      </c>
      <c r="D39" s="17" t="s">
        <v>52</v>
      </c>
      <c r="E39" s="17" t="s">
        <v>33</v>
      </c>
      <c r="F39" s="17" t="s">
        <v>185</v>
      </c>
      <c r="G39" s="3" t="s">
        <v>34</v>
      </c>
      <c r="H39" s="5">
        <v>10373.792999999998</v>
      </c>
      <c r="I39" s="5">
        <v>3966.65</v>
      </c>
      <c r="J39" s="5">
        <v>1258.1400000000001</v>
      </c>
      <c r="K39" s="17" t="s">
        <v>187</v>
      </c>
      <c r="L39" s="5">
        <f t="shared" si="0"/>
        <v>5149.0029999999979</v>
      </c>
    </row>
    <row r="40" spans="1:12" s="6" customFormat="1" ht="16.2" x14ac:dyDescent="0.3">
      <c r="A40" s="2">
        <v>41027</v>
      </c>
      <c r="B40" s="17" t="s">
        <v>172</v>
      </c>
      <c r="C40" s="17" t="s">
        <v>181</v>
      </c>
      <c r="D40" s="17" t="s">
        <v>10</v>
      </c>
      <c r="E40" s="17" t="s">
        <v>13</v>
      </c>
      <c r="F40" s="17" t="s">
        <v>184</v>
      </c>
      <c r="G40" s="3" t="s">
        <v>53</v>
      </c>
      <c r="H40" s="5">
        <v>458.41</v>
      </c>
      <c r="I40" s="5">
        <f>148.98*0.95</f>
        <v>141.53099999999998</v>
      </c>
      <c r="J40" s="5">
        <v>15.203455168475157</v>
      </c>
      <c r="K40" s="17" t="s">
        <v>187</v>
      </c>
      <c r="L40" s="5">
        <f t="shared" si="0"/>
        <v>301.67554483152486</v>
      </c>
    </row>
    <row r="41" spans="1:12" s="6" customFormat="1" ht="16.2" x14ac:dyDescent="0.3">
      <c r="A41" s="2"/>
      <c r="B41" s="17" t="s">
        <v>172</v>
      </c>
      <c r="C41" s="17" t="s">
        <v>189</v>
      </c>
      <c r="D41" s="17" t="s">
        <v>32</v>
      </c>
      <c r="E41" s="17" t="s">
        <v>21</v>
      </c>
      <c r="F41" s="17" t="s">
        <v>186</v>
      </c>
      <c r="G41" s="3"/>
      <c r="H41" s="5">
        <v>0</v>
      </c>
      <c r="I41" s="5">
        <v>0</v>
      </c>
      <c r="J41" s="5">
        <v>0</v>
      </c>
      <c r="K41" s="17"/>
      <c r="L41" s="5"/>
    </row>
    <row r="42" spans="1:12" s="6" customFormat="1" ht="16.2" x14ac:dyDescent="0.3">
      <c r="A42" s="2">
        <v>41045</v>
      </c>
      <c r="B42" s="17" t="s">
        <v>173</v>
      </c>
      <c r="C42" s="17" t="s">
        <v>183</v>
      </c>
      <c r="D42" s="17" t="s">
        <v>20</v>
      </c>
      <c r="E42" s="17" t="s">
        <v>21</v>
      </c>
      <c r="F42" s="17" t="s">
        <v>185</v>
      </c>
      <c r="G42" s="9" t="s">
        <v>54</v>
      </c>
      <c r="H42" s="5">
        <v>10530.47</v>
      </c>
      <c r="I42" s="5">
        <f>5839.6*0.5*0.85*0.95</f>
        <v>2357.7384999999999</v>
      </c>
      <c r="J42" s="5">
        <f>2066.50461204558*1.06</f>
        <v>2190.4948887683149</v>
      </c>
      <c r="K42" s="17" t="s">
        <v>192</v>
      </c>
      <c r="L42" s="5">
        <f t="shared" si="0"/>
        <v>5982.2366112316849</v>
      </c>
    </row>
    <row r="43" spans="1:12" s="6" customFormat="1" ht="16.2" x14ac:dyDescent="0.3">
      <c r="A43" s="2">
        <v>41045</v>
      </c>
      <c r="B43" s="17" t="s">
        <v>173</v>
      </c>
      <c r="C43" s="17" t="s">
        <v>181</v>
      </c>
      <c r="D43" s="17" t="s">
        <v>10</v>
      </c>
      <c r="E43" s="17" t="s">
        <v>21</v>
      </c>
      <c r="F43" s="17" t="s">
        <v>184</v>
      </c>
      <c r="G43" s="3" t="s">
        <v>55</v>
      </c>
      <c r="H43" s="5">
        <v>5347.17</v>
      </c>
      <c r="I43" s="5">
        <v>1427.03</v>
      </c>
      <c r="J43" s="5">
        <v>155.72</v>
      </c>
      <c r="K43" s="17" t="s">
        <v>187</v>
      </c>
      <c r="L43" s="5">
        <f t="shared" si="0"/>
        <v>3764.4200000000005</v>
      </c>
    </row>
    <row r="44" spans="1:12" s="6" customFormat="1" ht="16.2" x14ac:dyDescent="0.3">
      <c r="A44" s="2">
        <v>41045</v>
      </c>
      <c r="B44" s="17" t="s">
        <v>173</v>
      </c>
      <c r="C44" s="17" t="s">
        <v>182</v>
      </c>
      <c r="D44" s="17" t="s">
        <v>32</v>
      </c>
      <c r="E44" s="17" t="s">
        <v>33</v>
      </c>
      <c r="F44" s="17" t="s">
        <v>185</v>
      </c>
      <c r="G44" s="3" t="s">
        <v>56</v>
      </c>
      <c r="H44" s="5">
        <v>2520.0100000000002</v>
      </c>
      <c r="I44" s="5">
        <v>685.8</v>
      </c>
      <c r="J44" s="5">
        <v>406.15</v>
      </c>
      <c r="K44" s="17" t="s">
        <v>191</v>
      </c>
      <c r="L44" s="5">
        <f t="shared" si="0"/>
        <v>1428.0600000000004</v>
      </c>
    </row>
    <row r="45" spans="1:12" s="6" customFormat="1" ht="16.2" x14ac:dyDescent="0.3">
      <c r="A45" s="2">
        <v>41047</v>
      </c>
      <c r="B45" s="17" t="s">
        <v>173</v>
      </c>
      <c r="C45" s="17" t="s">
        <v>181</v>
      </c>
      <c r="D45" s="17" t="s">
        <v>10</v>
      </c>
      <c r="E45" s="17" t="s">
        <v>13</v>
      </c>
      <c r="F45" s="17" t="s">
        <v>184</v>
      </c>
      <c r="G45" s="3" t="s">
        <v>57</v>
      </c>
      <c r="H45" s="5">
        <v>3359.3</v>
      </c>
      <c r="I45" s="5">
        <v>1142.25</v>
      </c>
      <c r="J45" s="5">
        <v>294.20999999999998</v>
      </c>
      <c r="K45" s="17" t="s">
        <v>187</v>
      </c>
      <c r="L45" s="5">
        <f t="shared" si="0"/>
        <v>1922.8400000000001</v>
      </c>
    </row>
    <row r="46" spans="1:12" s="6" customFormat="1" ht="16.2" x14ac:dyDescent="0.3">
      <c r="A46" s="2">
        <v>41050</v>
      </c>
      <c r="B46" s="17" t="s">
        <v>173</v>
      </c>
      <c r="C46" s="17" t="s">
        <v>183</v>
      </c>
      <c r="D46" s="17" t="s">
        <v>20</v>
      </c>
      <c r="E46" s="17" t="s">
        <v>21</v>
      </c>
      <c r="F46" s="17" t="s">
        <v>185</v>
      </c>
      <c r="G46" s="4" t="s">
        <v>28</v>
      </c>
      <c r="H46" s="5">
        <v>700</v>
      </c>
      <c r="I46" s="5">
        <v>540.99</v>
      </c>
      <c r="J46" s="5">
        <f>8000/25</f>
        <v>320</v>
      </c>
      <c r="K46" s="17" t="s">
        <v>192</v>
      </c>
      <c r="L46" s="5">
        <f t="shared" si="0"/>
        <v>-160.99</v>
      </c>
    </row>
    <row r="47" spans="1:12" s="6" customFormat="1" ht="16.2" x14ac:dyDescent="0.3">
      <c r="A47" s="2">
        <v>41050</v>
      </c>
      <c r="B47" s="17" t="s">
        <v>173</v>
      </c>
      <c r="C47" s="17" t="s">
        <v>197</v>
      </c>
      <c r="D47" s="17" t="s">
        <v>52</v>
      </c>
      <c r="E47" s="17" t="s">
        <v>33</v>
      </c>
      <c r="F47" s="17" t="s">
        <v>185</v>
      </c>
      <c r="G47" s="3" t="s">
        <v>74</v>
      </c>
      <c r="H47" s="5">
        <v>7974.3</v>
      </c>
      <c r="I47" s="5">
        <v>3248.5</v>
      </c>
      <c r="J47" s="7">
        <v>853.86</v>
      </c>
      <c r="K47" s="17" t="s">
        <v>187</v>
      </c>
      <c r="L47" s="5">
        <f t="shared" si="0"/>
        <v>3871.94</v>
      </c>
    </row>
    <row r="48" spans="1:12" s="6" customFormat="1" ht="16.2" x14ac:dyDescent="0.3">
      <c r="A48" s="2">
        <v>41054</v>
      </c>
      <c r="B48" s="17" t="s">
        <v>173</v>
      </c>
      <c r="C48" s="17" t="s">
        <v>183</v>
      </c>
      <c r="D48" s="17" t="s">
        <v>20</v>
      </c>
      <c r="E48" s="17" t="s">
        <v>21</v>
      </c>
      <c r="F48" s="17" t="s">
        <v>185</v>
      </c>
      <c r="G48" s="3" t="s">
        <v>58</v>
      </c>
      <c r="H48" s="5">
        <v>14559</v>
      </c>
      <c r="I48" s="5">
        <f>10091.75*0.5*0.85*0.95</f>
        <v>4074.5440624999997</v>
      </c>
      <c r="J48" s="5">
        <v>3316.54</v>
      </c>
      <c r="K48" s="17" t="s">
        <v>192</v>
      </c>
      <c r="L48" s="5">
        <f t="shared" si="0"/>
        <v>7167.9159375000008</v>
      </c>
    </row>
    <row r="49" spans="1:12" s="6" customFormat="1" ht="16.2" x14ac:dyDescent="0.3">
      <c r="A49" s="10">
        <v>41055</v>
      </c>
      <c r="B49" s="17" t="s">
        <v>173</v>
      </c>
      <c r="C49" s="17" t="s">
        <v>183</v>
      </c>
      <c r="D49" s="17" t="s">
        <v>59</v>
      </c>
      <c r="E49" s="17" t="s">
        <v>21</v>
      </c>
      <c r="F49" s="17" t="s">
        <v>185</v>
      </c>
      <c r="G49" s="11" t="s">
        <v>60</v>
      </c>
      <c r="H49" s="12">
        <v>26838.75</v>
      </c>
      <c r="I49" s="8">
        <f>16839.82*0.5</f>
        <v>8419.91</v>
      </c>
      <c r="J49" s="8">
        <v>6217</v>
      </c>
      <c r="K49" s="17" t="s">
        <v>187</v>
      </c>
      <c r="L49" s="5">
        <f t="shared" si="0"/>
        <v>12201.84</v>
      </c>
    </row>
    <row r="50" spans="1:12" s="6" customFormat="1" ht="16.2" x14ac:dyDescent="0.3">
      <c r="A50" s="2">
        <v>41058</v>
      </c>
      <c r="B50" s="17" t="s">
        <v>173</v>
      </c>
      <c r="C50" s="17" t="s">
        <v>197</v>
      </c>
      <c r="D50" s="17" t="s">
        <v>10</v>
      </c>
      <c r="E50" s="17" t="s">
        <v>13</v>
      </c>
      <c r="F50" s="17" t="s">
        <v>184</v>
      </c>
      <c r="G50" s="3" t="s">
        <v>61</v>
      </c>
      <c r="H50" s="5">
        <v>2361.1</v>
      </c>
      <c r="I50" s="5">
        <v>810.65</v>
      </c>
      <c r="J50" s="5">
        <v>198.88875621890548</v>
      </c>
      <c r="K50" s="17" t="s">
        <v>187</v>
      </c>
      <c r="L50" s="5">
        <f t="shared" si="0"/>
        <v>1351.5612437810944</v>
      </c>
    </row>
    <row r="51" spans="1:12" s="6" customFormat="1" ht="16.2" x14ac:dyDescent="0.3">
      <c r="A51" s="2"/>
      <c r="B51" s="17" t="s">
        <v>173</v>
      </c>
      <c r="C51" s="17" t="s">
        <v>189</v>
      </c>
      <c r="D51" s="17" t="s">
        <v>32</v>
      </c>
      <c r="E51" s="17" t="s">
        <v>21</v>
      </c>
      <c r="F51" s="17" t="s">
        <v>186</v>
      </c>
      <c r="G51" s="3"/>
      <c r="H51" s="5">
        <v>0</v>
      </c>
      <c r="I51" s="5">
        <v>0</v>
      </c>
      <c r="J51" s="5">
        <v>0</v>
      </c>
      <c r="K51" s="17"/>
      <c r="L51" s="5"/>
    </row>
    <row r="52" spans="1:12" s="6" customFormat="1" ht="16.2" x14ac:dyDescent="0.3">
      <c r="A52" s="2">
        <v>41066</v>
      </c>
      <c r="B52" s="17" t="s">
        <v>174</v>
      </c>
      <c r="C52" s="17" t="s">
        <v>183</v>
      </c>
      <c r="D52" s="17" t="s">
        <v>20</v>
      </c>
      <c r="E52" s="17" t="s">
        <v>21</v>
      </c>
      <c r="F52" s="17" t="s">
        <v>185</v>
      </c>
      <c r="G52" s="3" t="s">
        <v>62</v>
      </c>
      <c r="H52" s="5">
        <v>6988.25</v>
      </c>
      <c r="I52" s="5">
        <f>(6128.2+344)*0.5*0.85*0.95</f>
        <v>2613.1507499999998</v>
      </c>
      <c r="J52" s="5">
        <v>2990.32</v>
      </c>
      <c r="K52" s="17" t="s">
        <v>192</v>
      </c>
      <c r="L52" s="5">
        <f t="shared" si="0"/>
        <v>1384.77925</v>
      </c>
    </row>
    <row r="53" spans="1:12" s="6" customFormat="1" ht="16.2" x14ac:dyDescent="0.3">
      <c r="A53" s="2">
        <v>41067</v>
      </c>
      <c r="B53" s="17" t="s">
        <v>174</v>
      </c>
      <c r="C53" s="17" t="s">
        <v>181</v>
      </c>
      <c r="D53" s="17" t="s">
        <v>63</v>
      </c>
      <c r="E53" s="17" t="s">
        <v>21</v>
      </c>
      <c r="F53" s="17" t="s">
        <v>186</v>
      </c>
      <c r="G53" s="3" t="s">
        <v>64</v>
      </c>
      <c r="H53" s="5">
        <v>8190.38</v>
      </c>
      <c r="I53" s="5">
        <v>2972.6</v>
      </c>
      <c r="J53" s="5">
        <f>2893.11*1.06</f>
        <v>3066.6966000000002</v>
      </c>
      <c r="K53" s="17" t="s">
        <v>192</v>
      </c>
      <c r="L53" s="5">
        <f t="shared" si="0"/>
        <v>2151.0834000000004</v>
      </c>
    </row>
    <row r="54" spans="1:12" s="6" customFormat="1" ht="16.2" x14ac:dyDescent="0.3">
      <c r="A54" s="2">
        <v>41068</v>
      </c>
      <c r="B54" s="17" t="s">
        <v>174</v>
      </c>
      <c r="C54" s="17" t="s">
        <v>189</v>
      </c>
      <c r="D54" s="17" t="s">
        <v>65</v>
      </c>
      <c r="E54" s="17" t="s">
        <v>66</v>
      </c>
      <c r="F54" s="17" t="s">
        <v>186</v>
      </c>
      <c r="G54" s="3" t="s">
        <v>67</v>
      </c>
      <c r="H54" s="5">
        <v>6555.58</v>
      </c>
      <c r="I54" s="5">
        <v>1694.7</v>
      </c>
      <c r="J54" s="5">
        <v>883.5</v>
      </c>
      <c r="K54" s="17" t="s">
        <v>187</v>
      </c>
      <c r="L54" s="5">
        <f t="shared" si="0"/>
        <v>3977.38</v>
      </c>
    </row>
    <row r="55" spans="1:12" s="6" customFormat="1" ht="16.2" x14ac:dyDescent="0.3">
      <c r="A55" s="10">
        <v>41070</v>
      </c>
      <c r="B55" s="17" t="s">
        <v>174</v>
      </c>
      <c r="C55" s="17" t="s">
        <v>183</v>
      </c>
      <c r="D55" s="17" t="s">
        <v>20</v>
      </c>
      <c r="E55" s="17" t="s">
        <v>21</v>
      </c>
      <c r="F55" s="17" t="s">
        <v>185</v>
      </c>
      <c r="G55" s="11" t="s">
        <v>87</v>
      </c>
      <c r="H55" s="12">
        <v>23553.337800000001</v>
      </c>
      <c r="I55" s="8">
        <f>12635.22*0.5*0.85*0.95</f>
        <v>5101.4700749999993</v>
      </c>
      <c r="J55" s="16">
        <v>2988</v>
      </c>
      <c r="K55" s="17" t="s">
        <v>192</v>
      </c>
      <c r="L55" s="5">
        <f t="shared" si="0"/>
        <v>15463.867725000004</v>
      </c>
    </row>
    <row r="56" spans="1:12" s="6" customFormat="1" ht="16.2" x14ac:dyDescent="0.3">
      <c r="A56" s="2">
        <v>41075</v>
      </c>
      <c r="B56" s="17" t="s">
        <v>174</v>
      </c>
      <c r="C56" s="17" t="s">
        <v>197</v>
      </c>
      <c r="D56" s="17" t="s">
        <v>32</v>
      </c>
      <c r="E56" s="17" t="s">
        <v>33</v>
      </c>
      <c r="F56" s="17" t="s">
        <v>185</v>
      </c>
      <c r="G56" s="3" t="s">
        <v>68</v>
      </c>
      <c r="H56" s="5">
        <v>11766.29</v>
      </c>
      <c r="I56" s="5">
        <v>3693.6</v>
      </c>
      <c r="J56" s="5">
        <v>1073.46</v>
      </c>
      <c r="K56" s="17" t="s">
        <v>191</v>
      </c>
      <c r="L56" s="5">
        <f t="shared" si="0"/>
        <v>6999.2300000000005</v>
      </c>
    </row>
    <row r="57" spans="1:12" s="6" customFormat="1" ht="16.2" x14ac:dyDescent="0.3">
      <c r="A57" s="2">
        <v>41075</v>
      </c>
      <c r="B57" s="17" t="s">
        <v>174</v>
      </c>
      <c r="C57" s="17" t="s">
        <v>197</v>
      </c>
      <c r="D57" s="17" t="s">
        <v>52</v>
      </c>
      <c r="E57" s="17" t="s">
        <v>33</v>
      </c>
      <c r="F57" s="17" t="s">
        <v>185</v>
      </c>
      <c r="G57" s="3" t="s">
        <v>68</v>
      </c>
      <c r="H57" s="5">
        <v>6617.78</v>
      </c>
      <c r="I57" s="5">
        <v>2160</v>
      </c>
      <c r="J57" s="5">
        <v>706.56</v>
      </c>
      <c r="K57" s="17" t="s">
        <v>187</v>
      </c>
      <c r="L57" s="5">
        <f t="shared" si="0"/>
        <v>3751.22</v>
      </c>
    </row>
    <row r="58" spans="1:12" s="6" customFormat="1" ht="16.2" x14ac:dyDescent="0.3">
      <c r="A58" s="2">
        <v>41075</v>
      </c>
      <c r="B58" s="17" t="s">
        <v>174</v>
      </c>
      <c r="C58" s="17" t="s">
        <v>183</v>
      </c>
      <c r="D58" s="17" t="s">
        <v>20</v>
      </c>
      <c r="E58" s="17" t="s">
        <v>21</v>
      </c>
      <c r="F58" s="17" t="s">
        <v>185</v>
      </c>
      <c r="G58" s="3" t="s">
        <v>69</v>
      </c>
      <c r="H58" s="5">
        <v>8970.14</v>
      </c>
      <c r="I58" s="5">
        <f>5565.1*0.5*0.85*0.95</f>
        <v>2246.9091250000001</v>
      </c>
      <c r="J58" s="5">
        <v>2679.77</v>
      </c>
      <c r="K58" s="17" t="s">
        <v>192</v>
      </c>
      <c r="L58" s="5">
        <f t="shared" si="0"/>
        <v>4043.4608749999993</v>
      </c>
    </row>
    <row r="59" spans="1:12" s="6" customFormat="1" ht="16.2" x14ac:dyDescent="0.3">
      <c r="A59" s="2">
        <v>41075</v>
      </c>
      <c r="B59" s="17" t="s">
        <v>174</v>
      </c>
      <c r="C59" s="17" t="s">
        <v>181</v>
      </c>
      <c r="D59" s="17" t="s">
        <v>10</v>
      </c>
      <c r="E59" s="17" t="s">
        <v>13</v>
      </c>
      <c r="F59" s="17" t="s">
        <v>184</v>
      </c>
      <c r="G59" s="3" t="s">
        <v>70</v>
      </c>
      <c r="H59" s="5">
        <v>2896.19</v>
      </c>
      <c r="I59" s="5">
        <v>745.23</v>
      </c>
      <c r="J59" s="5">
        <v>126.36712437810947</v>
      </c>
      <c r="K59" s="17" t="s">
        <v>187</v>
      </c>
      <c r="L59" s="5">
        <f t="shared" si="0"/>
        <v>2024.5928756218905</v>
      </c>
    </row>
    <row r="60" spans="1:12" s="6" customFormat="1" ht="16.2" x14ac:dyDescent="0.3">
      <c r="A60" s="2">
        <v>41078</v>
      </c>
      <c r="B60" s="17" t="s">
        <v>174</v>
      </c>
      <c r="C60" s="17" t="s">
        <v>181</v>
      </c>
      <c r="D60" s="17" t="s">
        <v>10</v>
      </c>
      <c r="E60" s="17" t="s">
        <v>13</v>
      </c>
      <c r="F60" s="17" t="s">
        <v>184</v>
      </c>
      <c r="G60" s="3" t="s">
        <v>71</v>
      </c>
      <c r="H60" s="5">
        <v>2749.36</v>
      </c>
      <c r="I60" s="5">
        <v>1311.5</v>
      </c>
      <c r="J60" s="5">
        <v>138.72</v>
      </c>
      <c r="K60" s="17" t="s">
        <v>187</v>
      </c>
      <c r="L60" s="5">
        <f t="shared" si="0"/>
        <v>1299.1400000000001</v>
      </c>
    </row>
    <row r="61" spans="1:12" s="6" customFormat="1" ht="16.2" x14ac:dyDescent="0.3">
      <c r="A61" s="2">
        <v>41080</v>
      </c>
      <c r="B61" s="17" t="s">
        <v>174</v>
      </c>
      <c r="C61" s="17" t="s">
        <v>181</v>
      </c>
      <c r="D61" s="17" t="s">
        <v>10</v>
      </c>
      <c r="E61" s="17" t="s">
        <v>13</v>
      </c>
      <c r="F61" s="17" t="s">
        <v>184</v>
      </c>
      <c r="G61" s="3" t="s">
        <v>72</v>
      </c>
      <c r="H61" s="5">
        <v>2271.15</v>
      </c>
      <c r="I61" s="5">
        <v>801.32</v>
      </c>
      <c r="J61" s="5">
        <v>135.25</v>
      </c>
      <c r="K61" s="17" t="s">
        <v>187</v>
      </c>
      <c r="L61" s="5">
        <f t="shared" si="0"/>
        <v>1334.58</v>
      </c>
    </row>
    <row r="62" spans="1:12" s="6" customFormat="1" ht="16.2" x14ac:dyDescent="0.3">
      <c r="A62" s="2">
        <v>41080</v>
      </c>
      <c r="B62" s="17" t="s">
        <v>174</v>
      </c>
      <c r="C62" s="17" t="s">
        <v>181</v>
      </c>
      <c r="D62" s="17" t="s">
        <v>10</v>
      </c>
      <c r="E62" s="17" t="s">
        <v>13</v>
      </c>
      <c r="F62" s="17" t="s">
        <v>184</v>
      </c>
      <c r="G62" s="3" t="s">
        <v>73</v>
      </c>
      <c r="H62" s="5">
        <v>2794.55</v>
      </c>
      <c r="I62" s="5">
        <v>1133.3599999999999</v>
      </c>
      <c r="J62" s="5">
        <v>111.32</v>
      </c>
      <c r="K62" s="17" t="s">
        <v>187</v>
      </c>
      <c r="L62" s="5">
        <f t="shared" si="0"/>
        <v>1549.8700000000003</v>
      </c>
    </row>
    <row r="63" spans="1:12" s="6" customFormat="1" ht="16.2" x14ac:dyDescent="0.3">
      <c r="A63" s="2">
        <v>41082</v>
      </c>
      <c r="B63" s="17" t="s">
        <v>174</v>
      </c>
      <c r="C63" s="17" t="s">
        <v>197</v>
      </c>
      <c r="D63" s="17" t="s">
        <v>52</v>
      </c>
      <c r="E63" s="17" t="s">
        <v>33</v>
      </c>
      <c r="F63" s="17" t="s">
        <v>185</v>
      </c>
      <c r="G63" s="3" t="s">
        <v>75</v>
      </c>
      <c r="H63" s="5">
        <v>8107.2</v>
      </c>
      <c r="I63" s="5">
        <f>2438+293.5</f>
        <v>2731.5</v>
      </c>
      <c r="J63" s="7">
        <v>853.86</v>
      </c>
      <c r="K63" s="17" t="s">
        <v>187</v>
      </c>
      <c r="L63" s="5">
        <f t="shared" si="0"/>
        <v>4521.84</v>
      </c>
    </row>
    <row r="64" spans="1:12" s="6" customFormat="1" ht="16.2" x14ac:dyDescent="0.3">
      <c r="A64" s="2">
        <v>41082</v>
      </c>
      <c r="B64" s="17" t="s">
        <v>174</v>
      </c>
      <c r="C64" s="17" t="s">
        <v>182</v>
      </c>
      <c r="D64" s="17" t="s">
        <v>32</v>
      </c>
      <c r="E64" s="17" t="s">
        <v>33</v>
      </c>
      <c r="F64" s="17" t="s">
        <v>185</v>
      </c>
      <c r="G64" s="3" t="s">
        <v>75</v>
      </c>
      <c r="H64" s="5">
        <v>4142.7</v>
      </c>
      <c r="I64" s="5">
        <v>774.9</v>
      </c>
      <c r="J64" s="5">
        <v>564.96</v>
      </c>
      <c r="K64" s="17" t="s">
        <v>191</v>
      </c>
      <c r="L64" s="5">
        <f t="shared" si="0"/>
        <v>2802.8399999999997</v>
      </c>
    </row>
    <row r="65" spans="1:12" s="6" customFormat="1" ht="16.2" x14ac:dyDescent="0.3">
      <c r="A65" s="2">
        <v>41082</v>
      </c>
      <c r="B65" s="17" t="s">
        <v>174</v>
      </c>
      <c r="C65" s="17" t="s">
        <v>183</v>
      </c>
      <c r="D65" s="17" t="s">
        <v>10</v>
      </c>
      <c r="E65" s="17" t="s">
        <v>13</v>
      </c>
      <c r="F65" s="17" t="s">
        <v>184</v>
      </c>
      <c r="G65" s="3" t="s">
        <v>76</v>
      </c>
      <c r="H65" s="5">
        <v>1922.34</v>
      </c>
      <c r="I65" s="5">
        <v>916.69</v>
      </c>
      <c r="J65" s="5">
        <v>202.33</v>
      </c>
      <c r="K65" s="17" t="s">
        <v>187</v>
      </c>
      <c r="L65" s="5">
        <f t="shared" si="0"/>
        <v>803.31999999999982</v>
      </c>
    </row>
    <row r="66" spans="1:12" s="6" customFormat="1" ht="16.2" x14ac:dyDescent="0.3">
      <c r="A66" s="10">
        <v>41087</v>
      </c>
      <c r="B66" s="17" t="s">
        <v>174</v>
      </c>
      <c r="C66" s="17" t="s">
        <v>197</v>
      </c>
      <c r="D66" s="17" t="s">
        <v>29</v>
      </c>
      <c r="E66" s="17" t="s">
        <v>30</v>
      </c>
      <c r="F66" s="17" t="s">
        <v>185</v>
      </c>
      <c r="G66" s="11" t="s">
        <v>77</v>
      </c>
      <c r="H66" s="8">
        <v>6071.89</v>
      </c>
      <c r="I66" s="8">
        <v>2030.65</v>
      </c>
      <c r="J66" s="8">
        <f>2357.04/100%*32.79%</f>
        <v>772.87341599999991</v>
      </c>
      <c r="K66" s="17" t="s">
        <v>187</v>
      </c>
      <c r="L66" s="5">
        <f t="shared" si="0"/>
        <v>3268.3665840000003</v>
      </c>
    </row>
    <row r="67" spans="1:12" s="6" customFormat="1" ht="16.2" x14ac:dyDescent="0.3">
      <c r="A67" s="2">
        <v>41087</v>
      </c>
      <c r="B67" s="17" t="s">
        <v>174</v>
      </c>
      <c r="C67" s="17" t="s">
        <v>181</v>
      </c>
      <c r="D67" s="17" t="s">
        <v>32</v>
      </c>
      <c r="E67" s="17" t="s">
        <v>33</v>
      </c>
      <c r="F67" s="17" t="s">
        <v>185</v>
      </c>
      <c r="G67" s="3" t="s">
        <v>78</v>
      </c>
      <c r="H67" s="5">
        <v>2272.1999999999998</v>
      </c>
      <c r="I67" s="5">
        <v>1387.67</v>
      </c>
      <c r="J67" s="5">
        <v>543.23</v>
      </c>
      <c r="K67" s="17" t="s">
        <v>191</v>
      </c>
      <c r="L67" s="5">
        <f t="shared" si="0"/>
        <v>341.29999999999973</v>
      </c>
    </row>
    <row r="68" spans="1:12" s="6" customFormat="1" ht="16.2" x14ac:dyDescent="0.3">
      <c r="A68" s="2">
        <v>41089</v>
      </c>
      <c r="B68" s="17" t="s">
        <v>174</v>
      </c>
      <c r="C68" s="17" t="s">
        <v>183</v>
      </c>
      <c r="D68" s="17" t="s">
        <v>63</v>
      </c>
      <c r="E68" s="17" t="s">
        <v>21</v>
      </c>
      <c r="F68" s="17" t="s">
        <v>186</v>
      </c>
      <c r="G68" s="3" t="s">
        <v>79</v>
      </c>
      <c r="H68" s="5">
        <v>4163.2700000000004</v>
      </c>
      <c r="I68" s="5">
        <v>2659.85</v>
      </c>
      <c r="J68" s="5">
        <f>2169.83*1.06</f>
        <v>2300.0198</v>
      </c>
      <c r="K68" s="17" t="s">
        <v>192</v>
      </c>
      <c r="L68" s="5">
        <f t="shared" si="0"/>
        <v>-796.5997999999995</v>
      </c>
    </row>
    <row r="69" spans="1:12" s="6" customFormat="1" ht="16.2" x14ac:dyDescent="0.3">
      <c r="A69" s="2">
        <v>41094</v>
      </c>
      <c r="B69" s="17" t="s">
        <v>175</v>
      </c>
      <c r="C69" s="17" t="s">
        <v>182</v>
      </c>
      <c r="D69" s="17" t="s">
        <v>63</v>
      </c>
      <c r="E69" s="17" t="s">
        <v>21</v>
      </c>
      <c r="F69" s="17" t="s">
        <v>186</v>
      </c>
      <c r="G69" s="3" t="s">
        <v>80</v>
      </c>
      <c r="H69" s="5">
        <v>2853.2</v>
      </c>
      <c r="I69" s="5">
        <v>1783.25</v>
      </c>
      <c r="J69" s="5">
        <f>1601.54*1.06</f>
        <v>1697.6324</v>
      </c>
      <c r="K69" s="17" t="s">
        <v>192</v>
      </c>
      <c r="L69" s="5">
        <f t="shared" si="0"/>
        <v>-627.68240000000014</v>
      </c>
    </row>
    <row r="70" spans="1:12" s="6" customFormat="1" ht="16.2" x14ac:dyDescent="0.3">
      <c r="A70" s="2"/>
      <c r="B70" s="17" t="s">
        <v>175</v>
      </c>
      <c r="C70" s="17" t="s">
        <v>181</v>
      </c>
      <c r="D70" s="17" t="s">
        <v>32</v>
      </c>
      <c r="E70" s="17" t="s">
        <v>21</v>
      </c>
      <c r="F70" s="17" t="s">
        <v>186</v>
      </c>
      <c r="G70" s="3"/>
      <c r="H70" s="5">
        <v>0</v>
      </c>
      <c r="I70" s="5">
        <v>0</v>
      </c>
      <c r="J70" s="5">
        <v>0</v>
      </c>
      <c r="K70" s="17"/>
      <c r="L70" s="5">
        <f t="shared" si="0"/>
        <v>0</v>
      </c>
    </row>
    <row r="71" spans="1:12" s="6" customFormat="1" ht="16.2" x14ac:dyDescent="0.3">
      <c r="A71" s="2"/>
      <c r="B71" s="17" t="s">
        <v>175</v>
      </c>
      <c r="C71" s="17" t="s">
        <v>183</v>
      </c>
      <c r="D71" s="17" t="s">
        <v>32</v>
      </c>
      <c r="E71" s="17" t="s">
        <v>21</v>
      </c>
      <c r="F71" s="17" t="s">
        <v>186</v>
      </c>
      <c r="G71" s="3"/>
      <c r="H71" s="5">
        <v>0</v>
      </c>
      <c r="I71" s="5">
        <v>0</v>
      </c>
      <c r="J71" s="5">
        <v>0</v>
      </c>
      <c r="K71" s="17"/>
      <c r="L71" s="5">
        <f t="shared" si="0"/>
        <v>0</v>
      </c>
    </row>
    <row r="72" spans="1:12" s="6" customFormat="1" ht="16.2" x14ac:dyDescent="0.3">
      <c r="A72" s="2"/>
      <c r="B72" s="17" t="s">
        <v>175</v>
      </c>
      <c r="C72" s="17" t="s">
        <v>189</v>
      </c>
      <c r="D72" s="17" t="s">
        <v>32</v>
      </c>
      <c r="E72" s="17" t="s">
        <v>21</v>
      </c>
      <c r="F72" s="17" t="s">
        <v>186</v>
      </c>
      <c r="G72" s="3"/>
      <c r="H72" s="5">
        <v>0</v>
      </c>
      <c r="I72" s="5">
        <v>0</v>
      </c>
      <c r="J72" s="5">
        <v>0</v>
      </c>
      <c r="K72" s="17"/>
      <c r="L72" s="5">
        <f t="shared" si="0"/>
        <v>0</v>
      </c>
    </row>
    <row r="73" spans="1:12" s="6" customFormat="1" ht="16.2" x14ac:dyDescent="0.3">
      <c r="A73" s="2">
        <v>41095</v>
      </c>
      <c r="B73" s="17" t="s">
        <v>175</v>
      </c>
      <c r="C73" s="17" t="s">
        <v>197</v>
      </c>
      <c r="D73" s="17" t="s">
        <v>52</v>
      </c>
      <c r="E73" s="17" t="s">
        <v>167</v>
      </c>
      <c r="F73" s="17" t="s">
        <v>185</v>
      </c>
      <c r="G73" s="3" t="s">
        <v>81</v>
      </c>
      <c r="H73" s="5">
        <v>7596</v>
      </c>
      <c r="I73" s="5">
        <f>3607.5+1087+1441</f>
        <v>6135.5</v>
      </c>
      <c r="J73" s="5">
        <v>1793.56</v>
      </c>
      <c r="K73" s="17" t="s">
        <v>187</v>
      </c>
      <c r="L73" s="5">
        <f t="shared" si="0"/>
        <v>-333.05999999999995</v>
      </c>
    </row>
    <row r="74" spans="1:12" s="6" customFormat="1" ht="16.2" x14ac:dyDescent="0.3">
      <c r="A74" s="2">
        <v>41101</v>
      </c>
      <c r="B74" s="17" t="s">
        <v>171</v>
      </c>
      <c r="C74" s="17" t="s">
        <v>181</v>
      </c>
      <c r="D74" s="17" t="s">
        <v>188</v>
      </c>
      <c r="E74" s="17" t="s">
        <v>21</v>
      </c>
      <c r="F74" s="17" t="s">
        <v>186</v>
      </c>
      <c r="G74" s="4"/>
      <c r="H74" s="5">
        <v>5803</v>
      </c>
      <c r="I74" s="5">
        <v>2892</v>
      </c>
      <c r="J74" s="5">
        <v>866</v>
      </c>
      <c r="K74" s="17" t="s">
        <v>192</v>
      </c>
      <c r="L74" s="5">
        <f t="shared" si="0"/>
        <v>2045</v>
      </c>
    </row>
    <row r="75" spans="1:12" s="6" customFormat="1" ht="16.2" x14ac:dyDescent="0.3">
      <c r="A75" s="2">
        <v>41106</v>
      </c>
      <c r="B75" s="17" t="s">
        <v>175</v>
      </c>
      <c r="C75" s="17" t="s">
        <v>189</v>
      </c>
      <c r="D75" s="17" t="s">
        <v>83</v>
      </c>
      <c r="E75" s="17" t="s">
        <v>66</v>
      </c>
      <c r="F75" s="17" t="s">
        <v>185</v>
      </c>
      <c r="G75" s="3" t="s">
        <v>84</v>
      </c>
      <c r="H75" s="5">
        <v>13870.8</v>
      </c>
      <c r="I75" s="5">
        <f>1577.13+718.99+1713.69</f>
        <v>4009.81</v>
      </c>
      <c r="J75" s="5">
        <v>1782.96</v>
      </c>
      <c r="K75" s="17" t="s">
        <v>187</v>
      </c>
      <c r="L75" s="5">
        <f t="shared" si="0"/>
        <v>8078.03</v>
      </c>
    </row>
    <row r="76" spans="1:12" s="1" customFormat="1" ht="16.2" x14ac:dyDescent="0.3">
      <c r="A76" s="2">
        <v>41106</v>
      </c>
      <c r="B76" s="17" t="s">
        <v>175</v>
      </c>
      <c r="C76" s="17" t="s">
        <v>197</v>
      </c>
      <c r="D76" s="17" t="s">
        <v>85</v>
      </c>
      <c r="E76" s="17" t="s">
        <v>33</v>
      </c>
      <c r="F76" s="17" t="s">
        <v>185</v>
      </c>
      <c r="G76" s="3" t="s">
        <v>86</v>
      </c>
      <c r="H76" s="5">
        <v>3570</v>
      </c>
      <c r="I76" s="5">
        <v>792.37</v>
      </c>
      <c r="J76" s="5">
        <v>1060.1199999999999</v>
      </c>
      <c r="K76" s="17" t="s">
        <v>192</v>
      </c>
      <c r="L76" s="5">
        <f t="shared" si="0"/>
        <v>1717.5100000000002</v>
      </c>
    </row>
    <row r="77" spans="1:12" s="6" customFormat="1" ht="16.2" x14ac:dyDescent="0.3">
      <c r="A77" s="2">
        <v>41108</v>
      </c>
      <c r="B77" s="17" t="s">
        <v>175</v>
      </c>
      <c r="C77" s="17" t="s">
        <v>189</v>
      </c>
      <c r="D77" s="17" t="s">
        <v>32</v>
      </c>
      <c r="E77" s="17" t="s">
        <v>30</v>
      </c>
      <c r="F77" s="17" t="s">
        <v>185</v>
      </c>
      <c r="G77" s="3" t="s">
        <v>89</v>
      </c>
      <c r="H77" s="5">
        <v>533.4</v>
      </c>
      <c r="I77" s="5">
        <v>342.9</v>
      </c>
      <c r="J77" s="5">
        <v>271.61</v>
      </c>
      <c r="K77" s="17" t="s">
        <v>191</v>
      </c>
      <c r="L77" s="5">
        <f t="shared" si="0"/>
        <v>-81.110000000000014</v>
      </c>
    </row>
    <row r="78" spans="1:12" s="6" customFormat="1" ht="16.2" x14ac:dyDescent="0.3">
      <c r="A78" s="2">
        <v>41110</v>
      </c>
      <c r="B78" s="17" t="s">
        <v>175</v>
      </c>
      <c r="C78" s="17" t="s">
        <v>182</v>
      </c>
      <c r="D78" s="17" t="s">
        <v>10</v>
      </c>
      <c r="E78" s="17" t="s">
        <v>13</v>
      </c>
      <c r="F78" s="17" t="s">
        <v>184</v>
      </c>
      <c r="G78" s="3" t="s">
        <v>82</v>
      </c>
      <c r="H78" s="5">
        <v>1712.54</v>
      </c>
      <c r="I78" s="5">
        <f>859.95*0.95</f>
        <v>816.95249999999999</v>
      </c>
      <c r="J78" s="5">
        <v>218.29253731343286</v>
      </c>
      <c r="K78" s="17" t="s">
        <v>187</v>
      </c>
      <c r="L78" s="5">
        <f t="shared" si="0"/>
        <v>677.29496268656715</v>
      </c>
    </row>
    <row r="79" spans="1:12" s="6" customFormat="1" ht="16.2" x14ac:dyDescent="0.3">
      <c r="A79" s="2">
        <v>41116</v>
      </c>
      <c r="B79" s="17" t="s">
        <v>175</v>
      </c>
      <c r="C79" s="17" t="s">
        <v>181</v>
      </c>
      <c r="D79" s="17" t="s">
        <v>10</v>
      </c>
      <c r="E79" s="17" t="s">
        <v>13</v>
      </c>
      <c r="F79" s="17" t="s">
        <v>184</v>
      </c>
      <c r="G79" s="3" t="s">
        <v>90</v>
      </c>
      <c r="H79" s="5">
        <v>525</v>
      </c>
      <c r="I79" s="5">
        <v>314.93</v>
      </c>
      <c r="J79" s="5">
        <v>0.35</v>
      </c>
      <c r="K79" s="17" t="s">
        <v>187</v>
      </c>
      <c r="L79" s="5">
        <f t="shared" ref="L79:L145" si="1">H79-I79-J79</f>
        <v>209.72</v>
      </c>
    </row>
    <row r="80" spans="1:12" s="6" customFormat="1" ht="16.2" x14ac:dyDescent="0.3">
      <c r="A80" s="10">
        <v>41150</v>
      </c>
      <c r="B80" s="17" t="s">
        <v>176</v>
      </c>
      <c r="C80" s="17" t="s">
        <v>181</v>
      </c>
      <c r="D80" s="17" t="s">
        <v>10</v>
      </c>
      <c r="E80" s="17" t="s">
        <v>13</v>
      </c>
      <c r="F80" s="17" t="s">
        <v>184</v>
      </c>
      <c r="G80" s="11" t="s">
        <v>91</v>
      </c>
      <c r="H80" s="5">
        <v>481.05</v>
      </c>
      <c r="I80" s="8">
        <v>123.75</v>
      </c>
      <c r="J80" s="5">
        <v>7.7615124378109464</v>
      </c>
      <c r="K80" s="17" t="s">
        <v>187</v>
      </c>
      <c r="L80" s="5">
        <f t="shared" si="1"/>
        <v>349.53848756218906</v>
      </c>
    </row>
    <row r="81" spans="1:12" s="6" customFormat="1" ht="16.2" x14ac:dyDescent="0.3">
      <c r="A81" s="10">
        <v>41151</v>
      </c>
      <c r="B81" s="17" t="s">
        <v>176</v>
      </c>
      <c r="C81" s="17" t="s">
        <v>182</v>
      </c>
      <c r="D81" s="17" t="s">
        <v>20</v>
      </c>
      <c r="E81" s="17" t="s">
        <v>21</v>
      </c>
      <c r="F81" s="17" t="s">
        <v>185</v>
      </c>
      <c r="G81" s="11" t="s">
        <v>92</v>
      </c>
      <c r="H81" s="5">
        <v>3843.71</v>
      </c>
      <c r="I81" s="8">
        <f>3191.51*0.5*0.85*0.95</f>
        <v>1288.5721624999999</v>
      </c>
      <c r="J81" s="8">
        <v>2145.75</v>
      </c>
      <c r="K81" s="17" t="s">
        <v>192</v>
      </c>
      <c r="L81" s="5">
        <f t="shared" si="1"/>
        <v>409.38783750000039</v>
      </c>
    </row>
    <row r="82" spans="1:12" s="6" customFormat="1" ht="16.2" x14ac:dyDescent="0.3">
      <c r="A82" s="10">
        <v>41151</v>
      </c>
      <c r="B82" s="17" t="s">
        <v>176</v>
      </c>
      <c r="C82" s="17" t="s">
        <v>182</v>
      </c>
      <c r="D82" s="17" t="s">
        <v>20</v>
      </c>
      <c r="E82" s="17" t="s">
        <v>21</v>
      </c>
      <c r="F82" s="17" t="s">
        <v>185</v>
      </c>
      <c r="G82" s="11" t="s">
        <v>93</v>
      </c>
      <c r="H82" s="5">
        <v>4186.96</v>
      </c>
      <c r="I82" s="8">
        <f>3925.3*0.5*0.85*0.95</f>
        <v>1584.8398749999999</v>
      </c>
      <c r="J82" s="8">
        <v>2384.17</v>
      </c>
      <c r="K82" s="17" t="s">
        <v>192</v>
      </c>
      <c r="L82" s="5">
        <f t="shared" si="1"/>
        <v>217.9501250000003</v>
      </c>
    </row>
    <row r="83" spans="1:12" s="6" customFormat="1" ht="16.2" x14ac:dyDescent="0.3">
      <c r="A83" s="10">
        <v>41151</v>
      </c>
      <c r="B83" s="17" t="s">
        <v>176</v>
      </c>
      <c r="C83" s="17" t="s">
        <v>181</v>
      </c>
      <c r="D83" s="17" t="s">
        <v>10</v>
      </c>
      <c r="E83" s="17" t="s">
        <v>13</v>
      </c>
      <c r="F83" s="17" t="s">
        <v>184</v>
      </c>
      <c r="G83" s="11" t="s">
        <v>94</v>
      </c>
      <c r="H83" s="5">
        <v>1600</v>
      </c>
      <c r="I83" s="8">
        <v>844.44</v>
      </c>
      <c r="J83" s="8">
        <v>366.15</v>
      </c>
      <c r="K83" s="17" t="s">
        <v>187</v>
      </c>
      <c r="L83" s="5">
        <f t="shared" si="1"/>
        <v>389.40999999999997</v>
      </c>
    </row>
    <row r="84" spans="1:12" s="6" customFormat="1" ht="16.2" x14ac:dyDescent="0.3">
      <c r="A84" s="2"/>
      <c r="B84" s="17" t="s">
        <v>176</v>
      </c>
      <c r="C84" s="17" t="s">
        <v>183</v>
      </c>
      <c r="D84" s="17" t="s">
        <v>32</v>
      </c>
      <c r="E84" s="17" t="s">
        <v>21</v>
      </c>
      <c r="F84" s="17" t="s">
        <v>186</v>
      </c>
      <c r="G84" s="3"/>
      <c r="H84" s="5">
        <v>0</v>
      </c>
      <c r="I84" s="5">
        <v>0</v>
      </c>
      <c r="J84" s="5">
        <v>0</v>
      </c>
      <c r="K84" s="17"/>
      <c r="L84" s="5">
        <f t="shared" si="1"/>
        <v>0</v>
      </c>
    </row>
    <row r="85" spans="1:12" s="6" customFormat="1" ht="16.2" x14ac:dyDescent="0.3">
      <c r="A85" s="2"/>
      <c r="B85" s="17" t="s">
        <v>176</v>
      </c>
      <c r="C85" s="17" t="s">
        <v>197</v>
      </c>
      <c r="D85" s="17" t="s">
        <v>32</v>
      </c>
      <c r="E85" s="17" t="s">
        <v>21</v>
      </c>
      <c r="F85" s="17" t="s">
        <v>186</v>
      </c>
      <c r="G85" s="3"/>
      <c r="H85" s="5">
        <v>0</v>
      </c>
      <c r="I85" s="5">
        <v>0</v>
      </c>
      <c r="J85" s="5">
        <v>0</v>
      </c>
      <c r="K85" s="17"/>
      <c r="L85" s="5">
        <f t="shared" si="1"/>
        <v>0</v>
      </c>
    </row>
    <row r="86" spans="1:12" s="6" customFormat="1" ht="16.2" x14ac:dyDescent="0.3">
      <c r="A86" s="10"/>
      <c r="B86" s="17" t="s">
        <v>176</v>
      </c>
      <c r="C86" s="17" t="s">
        <v>189</v>
      </c>
      <c r="D86" s="17" t="s">
        <v>32</v>
      </c>
      <c r="E86" s="17" t="s">
        <v>21</v>
      </c>
      <c r="F86" s="17" t="s">
        <v>186</v>
      </c>
      <c r="G86" s="11"/>
      <c r="H86" s="5">
        <v>0</v>
      </c>
      <c r="I86" s="8">
        <v>0</v>
      </c>
      <c r="J86" s="8">
        <v>0</v>
      </c>
      <c r="K86" s="17"/>
      <c r="L86" s="5">
        <f t="shared" si="1"/>
        <v>0</v>
      </c>
    </row>
    <row r="87" spans="1:12" s="6" customFormat="1" ht="16.2" x14ac:dyDescent="0.3">
      <c r="A87" s="10">
        <v>41157</v>
      </c>
      <c r="B87" s="17" t="s">
        <v>177</v>
      </c>
      <c r="C87" s="17" t="s">
        <v>189</v>
      </c>
      <c r="D87" s="17" t="s">
        <v>20</v>
      </c>
      <c r="E87" s="17" t="s">
        <v>21</v>
      </c>
      <c r="F87" s="17" t="s">
        <v>185</v>
      </c>
      <c r="G87" s="11" t="s">
        <v>95</v>
      </c>
      <c r="H87" s="5">
        <v>7769.45</v>
      </c>
      <c r="I87" s="8">
        <f>6839.78*0.5*0.85*0.95</f>
        <v>2761.5611749999994</v>
      </c>
      <c r="J87" s="8">
        <v>2801.4</v>
      </c>
      <c r="K87" s="17" t="s">
        <v>192</v>
      </c>
      <c r="L87" s="5">
        <f t="shared" si="1"/>
        <v>2206.4888249999999</v>
      </c>
    </row>
    <row r="88" spans="1:12" s="6" customFormat="1" ht="16.2" x14ac:dyDescent="0.3">
      <c r="A88" s="10">
        <v>41157</v>
      </c>
      <c r="B88" s="17" t="s">
        <v>177</v>
      </c>
      <c r="C88" s="17" t="s">
        <v>181</v>
      </c>
      <c r="D88" s="17" t="s">
        <v>10</v>
      </c>
      <c r="E88" s="17" t="s">
        <v>13</v>
      </c>
      <c r="F88" s="17" t="s">
        <v>184</v>
      </c>
      <c r="G88" s="11" t="s">
        <v>96</v>
      </c>
      <c r="H88" s="5">
        <v>1719.12</v>
      </c>
      <c r="I88" s="8">
        <v>641.63</v>
      </c>
      <c r="J88" s="8">
        <v>166.38</v>
      </c>
      <c r="K88" s="17" t="s">
        <v>187</v>
      </c>
      <c r="L88" s="5">
        <f t="shared" si="1"/>
        <v>911.10999999999979</v>
      </c>
    </row>
    <row r="89" spans="1:12" s="6" customFormat="1" ht="16.2" x14ac:dyDescent="0.3">
      <c r="A89" s="10">
        <v>41157</v>
      </c>
      <c r="B89" s="17" t="s">
        <v>177</v>
      </c>
      <c r="C89" s="17" t="s">
        <v>182</v>
      </c>
      <c r="D89" s="17" t="s">
        <v>29</v>
      </c>
      <c r="E89" s="17" t="s">
        <v>30</v>
      </c>
      <c r="F89" s="17" t="s">
        <v>185</v>
      </c>
      <c r="G89" s="11" t="s">
        <v>98</v>
      </c>
      <c r="H89" s="5">
        <v>5523.3</v>
      </c>
      <c r="I89" s="8">
        <v>966.72</v>
      </c>
      <c r="J89" s="8">
        <v>1341</v>
      </c>
      <c r="K89" s="17" t="s">
        <v>187</v>
      </c>
      <c r="L89" s="5">
        <f t="shared" si="1"/>
        <v>3215.58</v>
      </c>
    </row>
    <row r="90" spans="1:12" s="6" customFormat="1" ht="16.2" x14ac:dyDescent="0.3">
      <c r="A90" s="10">
        <v>41159</v>
      </c>
      <c r="B90" s="17" t="s">
        <v>177</v>
      </c>
      <c r="C90" s="17" t="s">
        <v>197</v>
      </c>
      <c r="D90" s="17" t="s">
        <v>32</v>
      </c>
      <c r="E90" s="17" t="s">
        <v>33</v>
      </c>
      <c r="F90" s="17" t="s">
        <v>185</v>
      </c>
      <c r="G90" s="11" t="s">
        <v>97</v>
      </c>
      <c r="H90" s="5">
        <v>2248.0300000000002</v>
      </c>
      <c r="I90" s="8">
        <v>944.55</v>
      </c>
      <c r="J90" s="8">
        <v>396</v>
      </c>
      <c r="K90" s="17" t="s">
        <v>191</v>
      </c>
      <c r="L90" s="5">
        <f t="shared" si="1"/>
        <v>907.48000000000025</v>
      </c>
    </row>
    <row r="91" spans="1:12" s="1" customFormat="1" ht="16.2" x14ac:dyDescent="0.3">
      <c r="A91" s="10">
        <v>41163</v>
      </c>
      <c r="B91" s="17" t="s">
        <v>177</v>
      </c>
      <c r="C91" s="17" t="s">
        <v>182</v>
      </c>
      <c r="D91" s="17" t="s">
        <v>20</v>
      </c>
      <c r="E91" s="17" t="s">
        <v>21</v>
      </c>
      <c r="F91" s="17" t="s">
        <v>185</v>
      </c>
      <c r="G91" s="11" t="s">
        <v>99</v>
      </c>
      <c r="H91" s="5">
        <v>6142.19</v>
      </c>
      <c r="I91" s="8">
        <f>5804.64*0.5*0.85*0.95</f>
        <v>2343.6233999999999</v>
      </c>
      <c r="J91" s="8">
        <v>2839</v>
      </c>
      <c r="K91" s="17" t="s">
        <v>192</v>
      </c>
      <c r="L91" s="5">
        <f t="shared" si="1"/>
        <v>959.56659999999965</v>
      </c>
    </row>
    <row r="92" spans="1:12" s="1" customFormat="1" ht="16.2" x14ac:dyDescent="0.3">
      <c r="A92" s="10">
        <v>41165</v>
      </c>
      <c r="B92" s="17" t="s">
        <v>177</v>
      </c>
      <c r="C92" s="17" t="s">
        <v>181</v>
      </c>
      <c r="D92" s="17" t="s">
        <v>20</v>
      </c>
      <c r="E92" s="17" t="s">
        <v>21</v>
      </c>
      <c r="F92" s="17" t="s">
        <v>185</v>
      </c>
      <c r="G92" s="11" t="s">
        <v>100</v>
      </c>
      <c r="H92" s="5">
        <v>6383.25</v>
      </c>
      <c r="I92" s="8">
        <f>6086.56*0.5*0.85*0.95</f>
        <v>2457.4485999999997</v>
      </c>
      <c r="J92" s="8">
        <v>3576.25</v>
      </c>
      <c r="K92" s="17" t="s">
        <v>192</v>
      </c>
      <c r="L92" s="5">
        <f t="shared" si="1"/>
        <v>349.55140000000029</v>
      </c>
    </row>
    <row r="93" spans="1:12" s="1" customFormat="1" ht="16.2" x14ac:dyDescent="0.3">
      <c r="A93" s="10">
        <v>41170</v>
      </c>
      <c r="B93" s="17" t="s">
        <v>177</v>
      </c>
      <c r="C93" s="17" t="s">
        <v>183</v>
      </c>
      <c r="D93" s="17" t="s">
        <v>20</v>
      </c>
      <c r="E93" s="17" t="s">
        <v>21</v>
      </c>
      <c r="F93" s="17" t="s">
        <v>185</v>
      </c>
      <c r="G93" s="11" t="s">
        <v>101</v>
      </c>
      <c r="H93" s="5">
        <v>14295.99</v>
      </c>
      <c r="I93" s="8">
        <f>8523.43*0.5*0.85*0.95</f>
        <v>3441.3348624999999</v>
      </c>
      <c r="J93" s="8">
        <v>3974.61</v>
      </c>
      <c r="K93" s="17" t="s">
        <v>192</v>
      </c>
      <c r="L93" s="5">
        <f t="shared" si="1"/>
        <v>6880.0451374999993</v>
      </c>
    </row>
    <row r="94" spans="1:12" s="1" customFormat="1" ht="16.2" x14ac:dyDescent="0.3">
      <c r="A94" s="2">
        <v>41171</v>
      </c>
      <c r="B94" s="17" t="s">
        <v>177</v>
      </c>
      <c r="C94" s="17" t="s">
        <v>189</v>
      </c>
      <c r="D94" s="17" t="s">
        <v>20</v>
      </c>
      <c r="E94" s="17" t="s">
        <v>21</v>
      </c>
      <c r="F94" s="17" t="s">
        <v>185</v>
      </c>
      <c r="G94" s="3" t="s">
        <v>102</v>
      </c>
      <c r="H94" s="5">
        <v>471.6</v>
      </c>
      <c r="I94" s="5">
        <f>254*0.5*0.85*0.95</f>
        <v>102.55249999999999</v>
      </c>
      <c r="J94" s="5">
        <v>5.96</v>
      </c>
      <c r="K94" s="17" t="s">
        <v>192</v>
      </c>
      <c r="L94" s="5">
        <f t="shared" si="1"/>
        <v>363.08750000000003</v>
      </c>
    </row>
    <row r="95" spans="1:12" s="1" customFormat="1" ht="16.2" x14ac:dyDescent="0.3">
      <c r="A95" s="2">
        <v>41173</v>
      </c>
      <c r="B95" s="17" t="s">
        <v>177</v>
      </c>
      <c r="C95" s="17" t="s">
        <v>181</v>
      </c>
      <c r="D95" s="17" t="s">
        <v>10</v>
      </c>
      <c r="E95" s="17" t="s">
        <v>13</v>
      </c>
      <c r="F95" s="17" t="s">
        <v>184</v>
      </c>
      <c r="G95" s="3" t="s">
        <v>103</v>
      </c>
      <c r="H95" s="5">
        <v>500</v>
      </c>
      <c r="I95" s="5">
        <v>152.65</v>
      </c>
      <c r="J95" s="5">
        <v>12.127363184079604</v>
      </c>
      <c r="K95" s="17" t="s">
        <v>187</v>
      </c>
      <c r="L95" s="5">
        <f t="shared" si="1"/>
        <v>335.2226368159204</v>
      </c>
    </row>
    <row r="96" spans="1:12" s="1" customFormat="1" ht="16.2" x14ac:dyDescent="0.3">
      <c r="A96" s="10">
        <v>41180</v>
      </c>
      <c r="B96" s="17" t="s">
        <v>177</v>
      </c>
      <c r="C96" s="17" t="s">
        <v>183</v>
      </c>
      <c r="D96" s="17" t="s">
        <v>20</v>
      </c>
      <c r="E96" s="17" t="s">
        <v>21</v>
      </c>
      <c r="F96" s="17" t="s">
        <v>185</v>
      </c>
      <c r="G96" s="11" t="s">
        <v>114</v>
      </c>
      <c r="H96" s="5">
        <v>2126</v>
      </c>
      <c r="I96" s="8">
        <f>56009/35</f>
        <v>1600.2571428571428</v>
      </c>
      <c r="J96" s="8">
        <v>440</v>
      </c>
      <c r="K96" s="17" t="s">
        <v>192</v>
      </c>
      <c r="L96" s="5">
        <f t="shared" si="1"/>
        <v>85.742857142857247</v>
      </c>
    </row>
    <row r="97" spans="1:12" s="1" customFormat="1" ht="16.2" x14ac:dyDescent="0.3">
      <c r="A97" s="10">
        <v>41187</v>
      </c>
      <c r="B97" s="17" t="s">
        <v>178</v>
      </c>
      <c r="C97" s="17" t="s">
        <v>189</v>
      </c>
      <c r="D97" s="17" t="s">
        <v>107</v>
      </c>
      <c r="E97" s="17" t="s">
        <v>66</v>
      </c>
      <c r="F97" s="17" t="s">
        <v>185</v>
      </c>
      <c r="G97" s="11" t="s">
        <v>108</v>
      </c>
      <c r="H97" s="5">
        <v>7156.5</v>
      </c>
      <c r="I97" s="8">
        <v>2218.09</v>
      </c>
      <c r="J97" s="8">
        <v>895.85</v>
      </c>
      <c r="K97" s="17" t="s">
        <v>191</v>
      </c>
      <c r="L97" s="5">
        <f t="shared" si="1"/>
        <v>4042.56</v>
      </c>
    </row>
    <row r="98" spans="1:12" s="1" customFormat="1" ht="16.2" x14ac:dyDescent="0.3">
      <c r="A98" s="10">
        <v>41187</v>
      </c>
      <c r="B98" s="17" t="s">
        <v>178</v>
      </c>
      <c r="C98" s="17" t="s">
        <v>189</v>
      </c>
      <c r="D98" s="17" t="s">
        <v>109</v>
      </c>
      <c r="E98" s="17" t="s">
        <v>11</v>
      </c>
      <c r="F98" s="17" t="s">
        <v>185</v>
      </c>
      <c r="G98" s="11" t="s">
        <v>110</v>
      </c>
      <c r="H98" s="5">
        <v>1587.8</v>
      </c>
      <c r="I98" s="8">
        <v>400.9</v>
      </c>
      <c r="J98" s="8">
        <v>259</v>
      </c>
      <c r="K98" s="17" t="s">
        <v>192</v>
      </c>
      <c r="L98" s="5">
        <f t="shared" si="1"/>
        <v>927.90000000000009</v>
      </c>
    </row>
    <row r="99" spans="1:12" s="1" customFormat="1" ht="16.2" x14ac:dyDescent="0.3">
      <c r="A99" s="10">
        <v>41187</v>
      </c>
      <c r="B99" s="17" t="s">
        <v>178</v>
      </c>
      <c r="C99" s="17" t="s">
        <v>182</v>
      </c>
      <c r="D99" s="17" t="s">
        <v>85</v>
      </c>
      <c r="E99" s="17" t="s">
        <v>30</v>
      </c>
      <c r="F99" s="17" t="s">
        <v>185</v>
      </c>
      <c r="G99" s="11" t="s">
        <v>111</v>
      </c>
      <c r="H99" s="5">
        <v>3620.43</v>
      </c>
      <c r="I99" s="8">
        <v>1056.83</v>
      </c>
      <c r="J99" s="8">
        <v>1429.35</v>
      </c>
      <c r="K99" s="17" t="s">
        <v>192</v>
      </c>
      <c r="L99" s="5">
        <f t="shared" si="1"/>
        <v>1134.25</v>
      </c>
    </row>
    <row r="100" spans="1:12" s="1" customFormat="1" ht="16.2" x14ac:dyDescent="0.3">
      <c r="A100" s="10">
        <v>41187</v>
      </c>
      <c r="B100" s="17" t="s">
        <v>178</v>
      </c>
      <c r="C100" s="17" t="s">
        <v>197</v>
      </c>
      <c r="D100" s="17" t="s">
        <v>85</v>
      </c>
      <c r="E100" s="17" t="s">
        <v>30</v>
      </c>
      <c r="F100" s="17" t="s">
        <v>185</v>
      </c>
      <c r="G100" s="11" t="s">
        <v>112</v>
      </c>
      <c r="H100" s="5">
        <v>983.53</v>
      </c>
      <c r="I100" s="8">
        <v>287.10000000000002</v>
      </c>
      <c r="J100" s="8">
        <v>376.62</v>
      </c>
      <c r="K100" s="17" t="s">
        <v>192</v>
      </c>
      <c r="L100" s="5">
        <f t="shared" si="1"/>
        <v>319.80999999999995</v>
      </c>
    </row>
    <row r="101" spans="1:12" s="1" customFormat="1" ht="16.2" x14ac:dyDescent="0.3">
      <c r="A101" s="10">
        <v>41187</v>
      </c>
      <c r="B101" s="17" t="s">
        <v>178</v>
      </c>
      <c r="C101" s="17" t="s">
        <v>182</v>
      </c>
      <c r="D101" s="17" t="s">
        <v>32</v>
      </c>
      <c r="E101" s="17" t="s">
        <v>30</v>
      </c>
      <c r="F101" s="17" t="s">
        <v>185</v>
      </c>
      <c r="G101" s="11" t="s">
        <v>113</v>
      </c>
      <c r="H101" s="5">
        <v>1060.29</v>
      </c>
      <c r="I101" s="8">
        <v>445.5</v>
      </c>
      <c r="J101" s="8">
        <v>145.04</v>
      </c>
      <c r="K101" s="17" t="s">
        <v>191</v>
      </c>
      <c r="L101" s="5">
        <f t="shared" si="1"/>
        <v>469.75</v>
      </c>
    </row>
    <row r="102" spans="1:12" s="1" customFormat="1" ht="16.2" x14ac:dyDescent="0.3">
      <c r="A102" s="10">
        <v>41188</v>
      </c>
      <c r="B102" s="17" t="s">
        <v>178</v>
      </c>
      <c r="C102" s="17" t="s">
        <v>189</v>
      </c>
      <c r="D102" s="17" t="s">
        <v>190</v>
      </c>
      <c r="E102" s="17" t="s">
        <v>66</v>
      </c>
      <c r="F102" s="17" t="s">
        <v>186</v>
      </c>
      <c r="G102" s="11"/>
      <c r="H102" s="5">
        <v>3833</v>
      </c>
      <c r="I102" s="8">
        <v>1992</v>
      </c>
      <c r="J102" s="8">
        <v>978</v>
      </c>
      <c r="K102" s="17" t="s">
        <v>191</v>
      </c>
      <c r="L102" s="5">
        <f t="shared" si="1"/>
        <v>863</v>
      </c>
    </row>
    <row r="103" spans="1:12" s="6" customFormat="1" ht="16.2" x14ac:dyDescent="0.3">
      <c r="A103" s="10">
        <v>41190</v>
      </c>
      <c r="B103" s="17" t="s">
        <v>178</v>
      </c>
      <c r="C103" s="17" t="s">
        <v>189</v>
      </c>
      <c r="D103" s="17" t="s">
        <v>83</v>
      </c>
      <c r="E103" s="17" t="s">
        <v>66</v>
      </c>
      <c r="F103" s="17" t="s">
        <v>185</v>
      </c>
      <c r="G103" s="11" t="s">
        <v>115</v>
      </c>
      <c r="H103" s="5">
        <v>2530.1999999999998</v>
      </c>
      <c r="I103" s="8">
        <v>1159.79</v>
      </c>
      <c r="J103" s="8">
        <v>803.6</v>
      </c>
      <c r="K103" s="17" t="s">
        <v>187</v>
      </c>
      <c r="L103" s="5">
        <f t="shared" si="1"/>
        <v>566.80999999999983</v>
      </c>
    </row>
    <row r="104" spans="1:12" s="6" customFormat="1" ht="16.2" x14ac:dyDescent="0.3">
      <c r="A104" s="10">
        <v>41190</v>
      </c>
      <c r="B104" s="17" t="s">
        <v>178</v>
      </c>
      <c r="C104" s="17" t="s">
        <v>189</v>
      </c>
      <c r="D104" s="17" t="s">
        <v>32</v>
      </c>
      <c r="E104" s="17" t="s">
        <v>66</v>
      </c>
      <c r="F104" s="17" t="s">
        <v>185</v>
      </c>
      <c r="G104" s="11" t="s">
        <v>116</v>
      </c>
      <c r="H104" s="5">
        <v>6525.6</v>
      </c>
      <c r="I104" s="8">
        <v>2511</v>
      </c>
      <c r="J104" s="8">
        <v>1120</v>
      </c>
      <c r="K104" s="17" t="s">
        <v>191</v>
      </c>
      <c r="L104" s="5">
        <f t="shared" si="1"/>
        <v>2894.6000000000004</v>
      </c>
    </row>
    <row r="105" spans="1:12" s="6" customFormat="1" ht="16.2" x14ac:dyDescent="0.3">
      <c r="A105" s="10">
        <v>41190</v>
      </c>
      <c r="B105" s="17" t="s">
        <v>178</v>
      </c>
      <c r="C105" s="17" t="s">
        <v>197</v>
      </c>
      <c r="D105" s="17" t="s">
        <v>52</v>
      </c>
      <c r="E105" s="17" t="s">
        <v>33</v>
      </c>
      <c r="F105" s="17" t="s">
        <v>185</v>
      </c>
      <c r="G105" s="11" t="s">
        <v>117</v>
      </c>
      <c r="H105" s="5">
        <v>3552.6</v>
      </c>
      <c r="I105" s="8">
        <v>1613.5</v>
      </c>
      <c r="J105" s="8">
        <v>561.55999999999995</v>
      </c>
      <c r="K105" s="17" t="s">
        <v>187</v>
      </c>
      <c r="L105" s="5">
        <f t="shared" si="1"/>
        <v>1377.54</v>
      </c>
    </row>
    <row r="106" spans="1:12" s="1" customFormat="1" ht="16.2" x14ac:dyDescent="0.3">
      <c r="A106" s="2">
        <v>41191</v>
      </c>
      <c r="B106" s="17" t="s">
        <v>178</v>
      </c>
      <c r="C106" s="17" t="s">
        <v>181</v>
      </c>
      <c r="D106" s="17" t="s">
        <v>10</v>
      </c>
      <c r="E106" s="17" t="s">
        <v>13</v>
      </c>
      <c r="F106" s="17" t="s">
        <v>184</v>
      </c>
      <c r="G106" s="3" t="s">
        <v>88</v>
      </c>
      <c r="H106" s="5">
        <v>1860.58</v>
      </c>
      <c r="I106" s="5">
        <v>843.84</v>
      </c>
      <c r="J106" s="5">
        <v>210.83</v>
      </c>
      <c r="K106" s="17" t="s">
        <v>187</v>
      </c>
      <c r="L106" s="5">
        <f t="shared" si="1"/>
        <v>805.90999999999985</v>
      </c>
    </row>
    <row r="107" spans="1:12" s="1" customFormat="1" ht="16.2" x14ac:dyDescent="0.3">
      <c r="A107" s="2">
        <v>41191</v>
      </c>
      <c r="B107" s="17" t="s">
        <v>178</v>
      </c>
      <c r="C107" s="17" t="s">
        <v>181</v>
      </c>
      <c r="D107" s="17" t="s">
        <v>10</v>
      </c>
      <c r="E107" s="17" t="s">
        <v>13</v>
      </c>
      <c r="F107" s="17" t="s">
        <v>184</v>
      </c>
      <c r="G107" s="3" t="s">
        <v>105</v>
      </c>
      <c r="H107" s="5">
        <v>2059.75</v>
      </c>
      <c r="I107" s="5">
        <v>974.04</v>
      </c>
      <c r="J107" s="5">
        <v>421.67</v>
      </c>
      <c r="K107" s="17" t="s">
        <v>187</v>
      </c>
      <c r="L107" s="5">
        <f t="shared" si="1"/>
        <v>664.04</v>
      </c>
    </row>
    <row r="108" spans="1:12" s="1" customFormat="1" ht="16.2" x14ac:dyDescent="0.3">
      <c r="A108" s="10">
        <v>41192</v>
      </c>
      <c r="B108" s="17" t="s">
        <v>178</v>
      </c>
      <c r="C108" s="17" t="s">
        <v>183</v>
      </c>
      <c r="D108" s="17" t="s">
        <v>20</v>
      </c>
      <c r="E108" s="17" t="s">
        <v>21</v>
      </c>
      <c r="F108" s="17" t="s">
        <v>185</v>
      </c>
      <c r="G108" s="11" t="s">
        <v>118</v>
      </c>
      <c r="H108" s="5">
        <v>14119.71</v>
      </c>
      <c r="I108" s="8">
        <f>9070.8*0.5*0.85*0.95</f>
        <v>3662.3354999999997</v>
      </c>
      <c r="J108" s="8">
        <v>3759.6</v>
      </c>
      <c r="K108" s="17" t="s">
        <v>192</v>
      </c>
      <c r="L108" s="5">
        <f t="shared" si="1"/>
        <v>6697.7744999999995</v>
      </c>
    </row>
    <row r="109" spans="1:12" s="1" customFormat="1" ht="16.2" x14ac:dyDescent="0.3">
      <c r="A109" s="10">
        <v>41192</v>
      </c>
      <c r="B109" s="17" t="s">
        <v>178</v>
      </c>
      <c r="C109" s="17" t="s">
        <v>189</v>
      </c>
      <c r="D109" s="17" t="s">
        <v>10</v>
      </c>
      <c r="E109" s="17" t="s">
        <v>13</v>
      </c>
      <c r="F109" s="17" t="s">
        <v>184</v>
      </c>
      <c r="G109" s="11" t="s">
        <v>119</v>
      </c>
      <c r="H109" s="5">
        <v>5159.51</v>
      </c>
      <c r="I109" s="8">
        <v>1475.58</v>
      </c>
      <c r="J109" s="8">
        <v>602</v>
      </c>
      <c r="K109" s="17" t="s">
        <v>187</v>
      </c>
      <c r="L109" s="5">
        <f t="shared" si="1"/>
        <v>3081.9300000000003</v>
      </c>
    </row>
    <row r="110" spans="1:12" s="1" customFormat="1" ht="16.2" x14ac:dyDescent="0.3">
      <c r="A110" s="10">
        <v>41192</v>
      </c>
      <c r="B110" s="17" t="s">
        <v>178</v>
      </c>
      <c r="C110" s="17" t="s">
        <v>182</v>
      </c>
      <c r="D110" s="17" t="s">
        <v>32</v>
      </c>
      <c r="E110" s="17" t="s">
        <v>30</v>
      </c>
      <c r="F110" s="17" t="s">
        <v>185</v>
      </c>
      <c r="G110" s="11" t="s">
        <v>120</v>
      </c>
      <c r="H110" s="5">
        <v>10408.65</v>
      </c>
      <c r="I110" s="8">
        <v>3103.2</v>
      </c>
      <c r="J110" s="8">
        <v>1407.42</v>
      </c>
      <c r="K110" s="17" t="s">
        <v>191</v>
      </c>
      <c r="L110" s="5">
        <f t="shared" si="1"/>
        <v>5898.03</v>
      </c>
    </row>
    <row r="111" spans="1:12" s="1" customFormat="1" ht="16.2" x14ac:dyDescent="0.3">
      <c r="A111" s="10">
        <v>41192</v>
      </c>
      <c r="B111" s="17" t="s">
        <v>178</v>
      </c>
      <c r="C111" s="17" t="s">
        <v>183</v>
      </c>
      <c r="D111" s="17" t="s">
        <v>107</v>
      </c>
      <c r="E111" s="17" t="s">
        <v>33</v>
      </c>
      <c r="F111" s="17" t="s">
        <v>185</v>
      </c>
      <c r="G111" s="11" t="s">
        <v>121</v>
      </c>
      <c r="H111" s="5">
        <v>4362.6899999999996</v>
      </c>
      <c r="I111" s="8">
        <f>3918*0.55*0.9*0.9</f>
        <v>1745.4690000000001</v>
      </c>
      <c r="J111" s="8">
        <f>183.35+100</f>
        <v>283.35000000000002</v>
      </c>
      <c r="K111" s="17" t="s">
        <v>191</v>
      </c>
      <c r="L111" s="5">
        <f t="shared" si="1"/>
        <v>2333.8709999999996</v>
      </c>
    </row>
    <row r="112" spans="1:12" s="1" customFormat="1" ht="16.2" x14ac:dyDescent="0.3">
      <c r="A112" s="10">
        <v>41192</v>
      </c>
      <c r="B112" s="17" t="s">
        <v>178</v>
      </c>
      <c r="C112" s="17" t="s">
        <v>197</v>
      </c>
      <c r="D112" s="17" t="s">
        <v>52</v>
      </c>
      <c r="E112" s="17" t="s">
        <v>33</v>
      </c>
      <c r="F112" s="17" t="s">
        <v>185</v>
      </c>
      <c r="G112" s="11" t="s">
        <v>121</v>
      </c>
      <c r="H112" s="5">
        <v>5539.44</v>
      </c>
      <c r="I112" s="8">
        <f>4193*0.5</f>
        <v>2096.5</v>
      </c>
      <c r="J112" s="8">
        <v>602.05999999999995</v>
      </c>
      <c r="K112" s="17" t="s">
        <v>187</v>
      </c>
      <c r="L112" s="5">
        <f t="shared" si="1"/>
        <v>2840.8799999999997</v>
      </c>
    </row>
    <row r="113" spans="1:12" s="1" customFormat="1" ht="16.2" x14ac:dyDescent="0.3">
      <c r="A113" s="10">
        <v>41193</v>
      </c>
      <c r="B113" s="17" t="s">
        <v>178</v>
      </c>
      <c r="C113" s="17" t="s">
        <v>183</v>
      </c>
      <c r="D113" s="17" t="s">
        <v>20</v>
      </c>
      <c r="E113" s="17" t="s">
        <v>21</v>
      </c>
      <c r="F113" s="17" t="s">
        <v>185</v>
      </c>
      <c r="G113" s="11" t="s">
        <v>122</v>
      </c>
      <c r="H113" s="5">
        <v>12071.94</v>
      </c>
      <c r="I113" s="8">
        <f>7278.54*0.5*0.85*0.95</f>
        <v>2938.710525</v>
      </c>
      <c r="J113" s="8">
        <v>2664.0980735551666</v>
      </c>
      <c r="K113" s="17" t="s">
        <v>192</v>
      </c>
      <c r="L113" s="5">
        <f t="shared" si="1"/>
        <v>6469.1314014448335</v>
      </c>
    </row>
    <row r="114" spans="1:12" s="1" customFormat="1" ht="16.2" x14ac:dyDescent="0.3">
      <c r="A114" s="10">
        <v>41194</v>
      </c>
      <c r="B114" s="17" t="s">
        <v>178</v>
      </c>
      <c r="C114" s="17" t="s">
        <v>181</v>
      </c>
      <c r="D114" s="17" t="s">
        <v>29</v>
      </c>
      <c r="E114" s="17" t="s">
        <v>30</v>
      </c>
      <c r="F114" s="17" t="s">
        <v>185</v>
      </c>
      <c r="G114" s="11" t="s">
        <v>124</v>
      </c>
      <c r="H114" s="5">
        <v>14052.6</v>
      </c>
      <c r="I114" s="8">
        <v>2815.36</v>
      </c>
      <c r="J114" s="8">
        <v>3754.52</v>
      </c>
      <c r="K114" s="17" t="s">
        <v>187</v>
      </c>
      <c r="L114" s="5">
        <f t="shared" si="1"/>
        <v>7482.7199999999993</v>
      </c>
    </row>
    <row r="115" spans="1:12" s="1" customFormat="1" ht="16.2" x14ac:dyDescent="0.3">
      <c r="A115" s="10">
        <v>41194</v>
      </c>
      <c r="B115" s="17" t="s">
        <v>178</v>
      </c>
      <c r="C115" s="17" t="s">
        <v>189</v>
      </c>
      <c r="D115" s="17" t="s">
        <v>52</v>
      </c>
      <c r="E115" s="17" t="s">
        <v>33</v>
      </c>
      <c r="F115" s="17" t="s">
        <v>185</v>
      </c>
      <c r="G115" s="11" t="s">
        <v>125</v>
      </c>
      <c r="H115" s="5">
        <v>9567.6299999999992</v>
      </c>
      <c r="I115" s="8">
        <v>1817.5</v>
      </c>
      <c r="J115" s="8">
        <v>549.36</v>
      </c>
      <c r="K115" s="17" t="s">
        <v>187</v>
      </c>
      <c r="L115" s="5">
        <f t="shared" si="1"/>
        <v>7200.7699999999995</v>
      </c>
    </row>
    <row r="116" spans="1:12" s="1" customFormat="1" ht="16.2" x14ac:dyDescent="0.3">
      <c r="A116" s="10">
        <v>41194</v>
      </c>
      <c r="B116" s="17" t="s">
        <v>178</v>
      </c>
      <c r="C116" s="17" t="s">
        <v>182</v>
      </c>
      <c r="D116" s="17" t="s">
        <v>32</v>
      </c>
      <c r="E116" s="17" t="s">
        <v>33</v>
      </c>
      <c r="F116" s="17" t="s">
        <v>185</v>
      </c>
      <c r="G116" s="11" t="s">
        <v>126</v>
      </c>
      <c r="H116" s="5">
        <v>542.70000000000005</v>
      </c>
      <c r="I116" s="8">
        <v>150.75</v>
      </c>
      <c r="J116" s="8">
        <v>394.56</v>
      </c>
      <c r="K116" s="17" t="s">
        <v>191</v>
      </c>
      <c r="L116" s="5">
        <f t="shared" si="1"/>
        <v>-2.6099999999999568</v>
      </c>
    </row>
    <row r="117" spans="1:12" s="1" customFormat="1" ht="16.2" x14ac:dyDescent="0.3">
      <c r="A117" s="10">
        <v>41194</v>
      </c>
      <c r="B117" s="17" t="s">
        <v>178</v>
      </c>
      <c r="C117" s="17" t="s">
        <v>189</v>
      </c>
      <c r="D117" s="17" t="s">
        <v>10</v>
      </c>
      <c r="E117" s="17" t="s">
        <v>13</v>
      </c>
      <c r="F117" s="17" t="s">
        <v>184</v>
      </c>
      <c r="G117" s="11" t="s">
        <v>127</v>
      </c>
      <c r="H117" s="5">
        <v>3229.18</v>
      </c>
      <c r="I117" s="8">
        <f>2398.8*0.39</f>
        <v>935.53200000000015</v>
      </c>
      <c r="J117" s="5">
        <v>253</v>
      </c>
      <c r="K117" s="17" t="s">
        <v>187</v>
      </c>
      <c r="L117" s="5">
        <f t="shared" si="1"/>
        <v>2040.6479999999997</v>
      </c>
    </row>
    <row r="118" spans="1:12" s="1" customFormat="1" ht="16.2" x14ac:dyDescent="0.3">
      <c r="A118" s="10">
        <v>41194</v>
      </c>
      <c r="B118" s="17" t="s">
        <v>178</v>
      </c>
      <c r="C118" s="17" t="s">
        <v>197</v>
      </c>
      <c r="D118" s="17" t="s">
        <v>107</v>
      </c>
      <c r="E118" s="17" t="s">
        <v>33</v>
      </c>
      <c r="F118" s="17" t="s">
        <v>185</v>
      </c>
      <c r="G118" s="11" t="s">
        <v>128</v>
      </c>
      <c r="H118" s="5">
        <v>13167.36</v>
      </c>
      <c r="I118" s="8">
        <f>8854*0.55*0.9*0.9</f>
        <v>3944.4570000000003</v>
      </c>
      <c r="J118" s="8">
        <v>877.56</v>
      </c>
      <c r="K118" s="17" t="s">
        <v>191</v>
      </c>
      <c r="L118" s="5">
        <f t="shared" si="1"/>
        <v>8345.3430000000008</v>
      </c>
    </row>
    <row r="119" spans="1:12" s="1" customFormat="1" ht="16.2" x14ac:dyDescent="0.3">
      <c r="A119" s="10">
        <v>41194</v>
      </c>
      <c r="B119" s="17" t="s">
        <v>178</v>
      </c>
      <c r="C119" s="17" t="s">
        <v>182</v>
      </c>
      <c r="D119" s="17" t="s">
        <v>107</v>
      </c>
      <c r="E119" s="17" t="s">
        <v>33</v>
      </c>
      <c r="F119" s="17" t="s">
        <v>185</v>
      </c>
      <c r="G119" s="11" t="s">
        <v>129</v>
      </c>
      <c r="H119" s="5">
        <v>4979.2</v>
      </c>
      <c r="I119" s="8">
        <f>3074.2*0.55*0.9*0.9</f>
        <v>1369.5561</v>
      </c>
      <c r="J119" s="8">
        <v>571.42999999999995</v>
      </c>
      <c r="K119" s="17" t="s">
        <v>191</v>
      </c>
      <c r="L119" s="5">
        <f t="shared" si="1"/>
        <v>3038.2139000000002</v>
      </c>
    </row>
    <row r="120" spans="1:12" s="1" customFormat="1" ht="16.2" x14ac:dyDescent="0.3">
      <c r="A120" s="10">
        <v>41199</v>
      </c>
      <c r="B120" s="17" t="s">
        <v>178</v>
      </c>
      <c r="C120" s="17" t="s">
        <v>181</v>
      </c>
      <c r="D120" s="17" t="s">
        <v>20</v>
      </c>
      <c r="E120" s="17" t="s">
        <v>21</v>
      </c>
      <c r="F120" s="17" t="s">
        <v>185</v>
      </c>
      <c r="G120" s="11" t="s">
        <v>130</v>
      </c>
      <c r="H120" s="5">
        <v>6221.82</v>
      </c>
      <c r="I120" s="8">
        <f>5144.7*0.5*0.85*0.95</f>
        <v>2077.1726249999997</v>
      </c>
      <c r="J120" s="8">
        <v>1971.4325744308233</v>
      </c>
      <c r="K120" s="17" t="s">
        <v>192</v>
      </c>
      <c r="L120" s="5">
        <f t="shared" si="1"/>
        <v>2173.214800569177</v>
      </c>
    </row>
    <row r="121" spans="1:12" s="1" customFormat="1" ht="16.2" x14ac:dyDescent="0.3">
      <c r="A121" s="10">
        <v>41199</v>
      </c>
      <c r="B121" s="17" t="s">
        <v>178</v>
      </c>
      <c r="C121" s="17" t="s">
        <v>197</v>
      </c>
      <c r="D121" s="17" t="s">
        <v>107</v>
      </c>
      <c r="E121" s="17" t="s">
        <v>33</v>
      </c>
      <c r="F121" s="17" t="s">
        <v>185</v>
      </c>
      <c r="G121" s="11" t="s">
        <v>131</v>
      </c>
      <c r="H121" s="5">
        <v>7324.56</v>
      </c>
      <c r="I121" s="8">
        <f>4470.4*0.55*0.9*0.9</f>
        <v>1991.5632000000001</v>
      </c>
      <c r="J121" s="8">
        <v>808.33</v>
      </c>
      <c r="K121" s="17" t="s">
        <v>191</v>
      </c>
      <c r="L121" s="5">
        <f t="shared" si="1"/>
        <v>4524.6668000000009</v>
      </c>
    </row>
    <row r="122" spans="1:12" s="1" customFormat="1" ht="16.2" x14ac:dyDescent="0.3">
      <c r="A122" s="10">
        <v>41201</v>
      </c>
      <c r="B122" s="17" t="s">
        <v>178</v>
      </c>
      <c r="C122" s="17" t="s">
        <v>189</v>
      </c>
      <c r="D122" s="17" t="s">
        <v>65</v>
      </c>
      <c r="E122" s="17" t="s">
        <v>66</v>
      </c>
      <c r="F122" s="17" t="s">
        <v>186</v>
      </c>
      <c r="G122" s="11" t="s">
        <v>123</v>
      </c>
      <c r="H122" s="5">
        <v>40847.08</v>
      </c>
      <c r="I122" s="8">
        <v>13974.93</v>
      </c>
      <c r="J122" s="8">
        <v>5266</v>
      </c>
      <c r="K122" s="17" t="s">
        <v>187</v>
      </c>
      <c r="L122" s="5">
        <f t="shared" si="1"/>
        <v>21606.15</v>
      </c>
    </row>
    <row r="123" spans="1:12" s="1" customFormat="1" ht="16.2" x14ac:dyDescent="0.3">
      <c r="A123" s="10">
        <v>41201</v>
      </c>
      <c r="B123" s="17" t="s">
        <v>178</v>
      </c>
      <c r="C123" s="17" t="s">
        <v>197</v>
      </c>
      <c r="D123" s="17" t="s">
        <v>20</v>
      </c>
      <c r="E123" s="17" t="s">
        <v>21</v>
      </c>
      <c r="F123" s="17" t="s">
        <v>185</v>
      </c>
      <c r="G123" s="11" t="s">
        <v>132</v>
      </c>
      <c r="H123" s="5">
        <v>3394.34</v>
      </c>
      <c r="I123" s="8">
        <f>3248.8*0.5*0.85*0.95</f>
        <v>1311.703</v>
      </c>
      <c r="J123" s="8">
        <v>1678.38</v>
      </c>
      <c r="K123" s="17" t="s">
        <v>192</v>
      </c>
      <c r="L123" s="5">
        <f t="shared" si="1"/>
        <v>404.25700000000006</v>
      </c>
    </row>
    <row r="124" spans="1:12" s="1" customFormat="1" ht="16.2" x14ac:dyDescent="0.3">
      <c r="A124" s="2">
        <v>41204</v>
      </c>
      <c r="B124" s="17" t="s">
        <v>178</v>
      </c>
      <c r="C124" s="17" t="s">
        <v>181</v>
      </c>
      <c r="D124" s="17" t="s">
        <v>10</v>
      </c>
      <c r="E124" s="17" t="s">
        <v>13</v>
      </c>
      <c r="F124" s="17" t="s">
        <v>184</v>
      </c>
      <c r="G124" s="3" t="s">
        <v>133</v>
      </c>
      <c r="H124" s="5">
        <v>814</v>
      </c>
      <c r="I124" s="5">
        <v>188.58</v>
      </c>
      <c r="J124" s="5">
        <v>5.14</v>
      </c>
      <c r="K124" s="17" t="s">
        <v>187</v>
      </c>
      <c r="L124" s="5">
        <f t="shared" si="1"/>
        <v>620.28</v>
      </c>
    </row>
    <row r="125" spans="1:12" s="1" customFormat="1" ht="16.2" x14ac:dyDescent="0.3">
      <c r="A125" s="10">
        <v>41206</v>
      </c>
      <c r="B125" s="17" t="s">
        <v>178</v>
      </c>
      <c r="C125" s="17" t="s">
        <v>181</v>
      </c>
      <c r="D125" s="17" t="s">
        <v>20</v>
      </c>
      <c r="E125" s="17" t="s">
        <v>21</v>
      </c>
      <c r="F125" s="17" t="s">
        <v>185</v>
      </c>
      <c r="G125" s="11" t="s">
        <v>134</v>
      </c>
      <c r="H125" s="5">
        <f>100240.83/35</f>
        <v>2864.0237142857145</v>
      </c>
      <c r="I125" s="8">
        <f>3123.6*0.5*0.85*0.95</f>
        <v>1261.1534999999999</v>
      </c>
      <c r="J125" s="8">
        <v>2031.7</v>
      </c>
      <c r="K125" s="17" t="s">
        <v>192</v>
      </c>
      <c r="L125" s="5">
        <f t="shared" si="1"/>
        <v>-428.82978571428544</v>
      </c>
    </row>
    <row r="126" spans="1:12" s="1" customFormat="1" ht="16.2" x14ac:dyDescent="0.3">
      <c r="A126" s="10">
        <v>41206</v>
      </c>
      <c r="B126" s="17" t="s">
        <v>178</v>
      </c>
      <c r="C126" s="17" t="s">
        <v>189</v>
      </c>
      <c r="D126" s="17" t="s">
        <v>20</v>
      </c>
      <c r="E126" s="17" t="s">
        <v>21</v>
      </c>
      <c r="F126" s="17" t="s">
        <v>185</v>
      </c>
      <c r="G126" s="11" t="s">
        <v>135</v>
      </c>
      <c r="H126" s="5">
        <v>6717.76</v>
      </c>
      <c r="I126" s="8">
        <f>7782.3*0.5*0.85*0.95</f>
        <v>3142.1036249999997</v>
      </c>
      <c r="J126" s="8">
        <v>3463.33</v>
      </c>
      <c r="K126" s="17" t="s">
        <v>192</v>
      </c>
      <c r="L126" s="5">
        <f t="shared" si="1"/>
        <v>112.32637500000055</v>
      </c>
    </row>
    <row r="127" spans="1:12" s="1" customFormat="1" ht="16.2" x14ac:dyDescent="0.3">
      <c r="A127" s="10">
        <v>41208</v>
      </c>
      <c r="B127" s="17" t="s">
        <v>178</v>
      </c>
      <c r="C127" s="17" t="s">
        <v>181</v>
      </c>
      <c r="D127" s="17" t="s">
        <v>20</v>
      </c>
      <c r="E127" s="17" t="s">
        <v>21</v>
      </c>
      <c r="F127" s="17" t="s">
        <v>185</v>
      </c>
      <c r="G127" s="11" t="s">
        <v>136</v>
      </c>
      <c r="H127" s="5">
        <v>8919</v>
      </c>
      <c r="I127" s="8">
        <f>7645.29*0.5*0.85*0.95</f>
        <v>3086.7858375000001</v>
      </c>
      <c r="J127" s="8">
        <v>2770.6619964973729</v>
      </c>
      <c r="K127" s="17" t="s">
        <v>192</v>
      </c>
      <c r="L127" s="5">
        <f t="shared" si="1"/>
        <v>3061.5521660026275</v>
      </c>
    </row>
    <row r="128" spans="1:12" s="1" customFormat="1" ht="16.2" x14ac:dyDescent="0.3">
      <c r="A128" s="10">
        <v>41211</v>
      </c>
      <c r="B128" s="17" t="s">
        <v>178</v>
      </c>
      <c r="C128" s="17" t="s">
        <v>182</v>
      </c>
      <c r="D128" s="17" t="s">
        <v>20</v>
      </c>
      <c r="E128" s="17" t="s">
        <v>21</v>
      </c>
      <c r="F128" s="17" t="s">
        <v>185</v>
      </c>
      <c r="G128" s="11" t="s">
        <v>137</v>
      </c>
      <c r="H128" s="5">
        <v>6480</v>
      </c>
      <c r="I128" s="8">
        <f>4865.34*0.5*0.85*0.95</f>
        <v>1964.3810249999997</v>
      </c>
      <c r="J128" s="8">
        <v>2557.5300000000002</v>
      </c>
      <c r="K128" s="17" t="s">
        <v>192</v>
      </c>
      <c r="L128" s="5">
        <f t="shared" si="1"/>
        <v>1958.0889750000001</v>
      </c>
    </row>
    <row r="129" spans="1:12" s="1" customFormat="1" ht="16.2" x14ac:dyDescent="0.3">
      <c r="A129" s="10">
        <v>41212</v>
      </c>
      <c r="B129" s="17" t="s">
        <v>178</v>
      </c>
      <c r="C129" s="17" t="s">
        <v>189</v>
      </c>
      <c r="D129" s="17" t="s">
        <v>32</v>
      </c>
      <c r="E129" s="17" t="s">
        <v>66</v>
      </c>
      <c r="F129" s="17" t="s">
        <v>185</v>
      </c>
      <c r="G129" s="11" t="s">
        <v>138</v>
      </c>
      <c r="H129" s="5">
        <v>6580.44</v>
      </c>
      <c r="I129" s="8">
        <v>1827.9</v>
      </c>
      <c r="J129" s="8">
        <v>563.45000000000005</v>
      </c>
      <c r="K129" s="17" t="s">
        <v>191</v>
      </c>
      <c r="L129" s="5">
        <f t="shared" si="1"/>
        <v>4189.0899999999992</v>
      </c>
    </row>
    <row r="130" spans="1:12" s="1" customFormat="1" ht="16.2" x14ac:dyDescent="0.3">
      <c r="A130" s="10">
        <v>41212</v>
      </c>
      <c r="B130" s="17" t="s">
        <v>178</v>
      </c>
      <c r="C130" s="17" t="s">
        <v>181</v>
      </c>
      <c r="D130" s="17" t="s">
        <v>63</v>
      </c>
      <c r="E130" s="17" t="s">
        <v>21</v>
      </c>
      <c r="F130" s="17" t="s">
        <v>186</v>
      </c>
      <c r="G130" s="11" t="s">
        <v>139</v>
      </c>
      <c r="H130" s="5">
        <v>2770</v>
      </c>
      <c r="I130" s="8">
        <v>1221.6600000000001</v>
      </c>
      <c r="J130" s="8">
        <v>696.07</v>
      </c>
      <c r="K130" s="17" t="s">
        <v>192</v>
      </c>
      <c r="L130" s="5">
        <f t="shared" si="1"/>
        <v>852.26999999999987</v>
      </c>
    </row>
    <row r="131" spans="1:12" s="6" customFormat="1" ht="16.2" x14ac:dyDescent="0.3">
      <c r="A131" s="10">
        <v>41212</v>
      </c>
      <c r="B131" s="17" t="s">
        <v>178</v>
      </c>
      <c r="C131" s="17" t="s">
        <v>183</v>
      </c>
      <c r="D131" s="17" t="s">
        <v>63</v>
      </c>
      <c r="E131" s="17" t="s">
        <v>21</v>
      </c>
      <c r="F131" s="17" t="s">
        <v>186</v>
      </c>
      <c r="G131" s="11" t="s">
        <v>140</v>
      </c>
      <c r="H131" s="5">
        <f>237909.14/35.85</f>
        <v>6636.2382147838216</v>
      </c>
      <c r="I131" s="8">
        <v>2989.51</v>
      </c>
      <c r="J131" s="8">
        <v>2986.55</v>
      </c>
      <c r="K131" s="17" t="s">
        <v>192</v>
      </c>
      <c r="L131" s="5">
        <f t="shared" si="1"/>
        <v>660.1782147838212</v>
      </c>
    </row>
    <row r="132" spans="1:12" s="1" customFormat="1" ht="16.2" x14ac:dyDescent="0.3">
      <c r="A132" s="10">
        <v>41219</v>
      </c>
      <c r="B132" s="17" t="s">
        <v>179</v>
      </c>
      <c r="C132" s="17" t="s">
        <v>189</v>
      </c>
      <c r="D132" s="17" t="s">
        <v>10</v>
      </c>
      <c r="E132" s="17" t="s">
        <v>13</v>
      </c>
      <c r="F132" s="17" t="s">
        <v>184</v>
      </c>
      <c r="G132" s="11" t="s">
        <v>141</v>
      </c>
      <c r="H132" s="5">
        <v>445</v>
      </c>
      <c r="I132" s="8">
        <f>428*0.39</f>
        <v>166.92000000000002</v>
      </c>
      <c r="J132" s="5">
        <v>84.33</v>
      </c>
      <c r="K132" s="17" t="s">
        <v>187</v>
      </c>
      <c r="L132" s="5">
        <f t="shared" si="1"/>
        <v>193.75</v>
      </c>
    </row>
    <row r="133" spans="1:12" s="1" customFormat="1" ht="16.2" x14ac:dyDescent="0.3">
      <c r="A133" s="10">
        <v>41220</v>
      </c>
      <c r="B133" s="17" t="s">
        <v>179</v>
      </c>
      <c r="C133" s="17" t="s">
        <v>183</v>
      </c>
      <c r="D133" s="17" t="s">
        <v>85</v>
      </c>
      <c r="E133" s="17" t="s">
        <v>30</v>
      </c>
      <c r="F133" s="17" t="s">
        <v>185</v>
      </c>
      <c r="G133" s="11" t="s">
        <v>142</v>
      </c>
      <c r="H133" s="5">
        <v>499.5</v>
      </c>
      <c r="I133" s="8">
        <f>555*0.55*0.9</f>
        <v>274.72500000000002</v>
      </c>
      <c r="J133" s="8">
        <v>794.5</v>
      </c>
      <c r="K133" s="17" t="s">
        <v>192</v>
      </c>
      <c r="L133" s="5">
        <f t="shared" si="1"/>
        <v>-569.72500000000002</v>
      </c>
    </row>
    <row r="134" spans="1:12" s="1" customFormat="1" ht="16.2" x14ac:dyDescent="0.3">
      <c r="A134" s="10">
        <v>41221</v>
      </c>
      <c r="B134" s="17" t="s">
        <v>179</v>
      </c>
      <c r="C134" s="17" t="s">
        <v>181</v>
      </c>
      <c r="D134" s="17" t="s">
        <v>20</v>
      </c>
      <c r="E134" s="17" t="s">
        <v>21</v>
      </c>
      <c r="F134" s="17" t="s">
        <v>185</v>
      </c>
      <c r="G134" s="11" t="s">
        <v>143</v>
      </c>
      <c r="H134" s="5">
        <v>7235.19</v>
      </c>
      <c r="I134" s="8">
        <f>9008.55*0.5*0.85*0.95</f>
        <v>3637.2020624999996</v>
      </c>
      <c r="J134" s="8">
        <v>4050.38</v>
      </c>
      <c r="K134" s="17" t="s">
        <v>192</v>
      </c>
      <c r="L134" s="5">
        <f t="shared" si="1"/>
        <v>-452.39206250000007</v>
      </c>
    </row>
    <row r="135" spans="1:12" s="1" customFormat="1" ht="16.2" x14ac:dyDescent="0.3">
      <c r="A135" s="10">
        <v>41222</v>
      </c>
      <c r="B135" s="17" t="s">
        <v>179</v>
      </c>
      <c r="C135" s="17" t="s">
        <v>181</v>
      </c>
      <c r="D135" s="17" t="s">
        <v>10</v>
      </c>
      <c r="E135" s="17" t="s">
        <v>13</v>
      </c>
      <c r="F135" s="17" t="s">
        <v>184</v>
      </c>
      <c r="G135" s="11" t="s">
        <v>144</v>
      </c>
      <c r="H135" s="5">
        <v>3782.7</v>
      </c>
      <c r="I135" s="8">
        <f>2627.5*0.39</f>
        <v>1024.7250000000001</v>
      </c>
      <c r="J135" s="5">
        <v>370.46</v>
      </c>
      <c r="K135" s="17" t="s">
        <v>187</v>
      </c>
      <c r="L135" s="5">
        <f t="shared" si="1"/>
        <v>2387.5149999999994</v>
      </c>
    </row>
    <row r="136" spans="1:12" s="1" customFormat="1" ht="16.2" x14ac:dyDescent="0.3">
      <c r="A136" s="10">
        <v>41222</v>
      </c>
      <c r="B136" s="17" t="s">
        <v>179</v>
      </c>
      <c r="C136" s="17" t="s">
        <v>183</v>
      </c>
      <c r="D136" s="17" t="s">
        <v>10</v>
      </c>
      <c r="E136" s="17" t="s">
        <v>13</v>
      </c>
      <c r="F136" s="17" t="s">
        <v>184</v>
      </c>
      <c r="G136" s="11" t="s">
        <v>145</v>
      </c>
      <c r="H136" s="5">
        <v>2268</v>
      </c>
      <c r="I136" s="8">
        <f>1573*0.39</f>
        <v>613.47</v>
      </c>
      <c r="J136" s="5">
        <v>317.54000000000002</v>
      </c>
      <c r="K136" s="17" t="s">
        <v>187</v>
      </c>
      <c r="L136" s="5">
        <f t="shared" si="1"/>
        <v>1336.99</v>
      </c>
    </row>
    <row r="137" spans="1:12" s="1" customFormat="1" ht="16.2" x14ac:dyDescent="0.3">
      <c r="A137" s="10">
        <v>41227</v>
      </c>
      <c r="B137" s="17" t="s">
        <v>179</v>
      </c>
      <c r="C137" s="17" t="s">
        <v>183</v>
      </c>
      <c r="D137" s="17" t="s">
        <v>63</v>
      </c>
      <c r="E137" s="17" t="s">
        <v>21</v>
      </c>
      <c r="F137" s="17" t="s">
        <v>186</v>
      </c>
      <c r="G137" s="11" t="s">
        <v>146</v>
      </c>
      <c r="H137" s="5">
        <v>392.4</v>
      </c>
      <c r="I137" s="8">
        <v>173.97</v>
      </c>
      <c r="J137" s="8">
        <v>297.47000000000003</v>
      </c>
      <c r="K137" s="17" t="s">
        <v>192</v>
      </c>
      <c r="L137" s="5">
        <f t="shared" si="1"/>
        <v>-79.040000000000049</v>
      </c>
    </row>
    <row r="138" spans="1:12" s="1" customFormat="1" ht="16.2" x14ac:dyDescent="0.3">
      <c r="A138" s="2">
        <v>41230</v>
      </c>
      <c r="B138" s="17" t="s">
        <v>179</v>
      </c>
      <c r="C138" s="17" t="s">
        <v>197</v>
      </c>
      <c r="D138" s="17" t="s">
        <v>20</v>
      </c>
      <c r="E138" s="17" t="s">
        <v>21</v>
      </c>
      <c r="F138" s="17" t="s">
        <v>185</v>
      </c>
      <c r="G138" s="4" t="s">
        <v>26</v>
      </c>
      <c r="H138" s="5">
        <v>7599.16</v>
      </c>
      <c r="I138" s="5">
        <v>2469.46</v>
      </c>
      <c r="J138" s="5">
        <v>1743</v>
      </c>
      <c r="K138" s="17" t="s">
        <v>192</v>
      </c>
      <c r="L138" s="5">
        <f t="shared" si="1"/>
        <v>3386.7</v>
      </c>
    </row>
    <row r="139" spans="1:12" s="1" customFormat="1" ht="16.2" x14ac:dyDescent="0.3">
      <c r="A139" s="10">
        <v>41235</v>
      </c>
      <c r="B139" s="17" t="s">
        <v>179</v>
      </c>
      <c r="C139" s="17" t="s">
        <v>181</v>
      </c>
      <c r="D139" s="17" t="s">
        <v>20</v>
      </c>
      <c r="E139" s="17" t="s">
        <v>21</v>
      </c>
      <c r="F139" s="17" t="s">
        <v>185</v>
      </c>
      <c r="G139" s="11" t="s">
        <v>147</v>
      </c>
      <c r="H139" s="5">
        <v>1127</v>
      </c>
      <c r="I139" s="8">
        <f>28889/35</f>
        <v>825.4</v>
      </c>
      <c r="J139" s="8">
        <v>322</v>
      </c>
      <c r="K139" s="17" t="s">
        <v>192</v>
      </c>
      <c r="L139" s="5">
        <f t="shared" si="1"/>
        <v>-20.399999999999977</v>
      </c>
    </row>
    <row r="140" spans="1:12" s="1" customFormat="1" ht="16.2" x14ac:dyDescent="0.3">
      <c r="A140" s="10">
        <v>41239</v>
      </c>
      <c r="B140" s="17" t="s">
        <v>179</v>
      </c>
      <c r="C140" s="17" t="s">
        <v>181</v>
      </c>
      <c r="D140" s="17" t="s">
        <v>20</v>
      </c>
      <c r="E140" s="17" t="s">
        <v>21</v>
      </c>
      <c r="F140" s="17" t="s">
        <v>185</v>
      </c>
      <c r="G140" s="11" t="s">
        <v>149</v>
      </c>
      <c r="H140" s="5">
        <v>15358</v>
      </c>
      <c r="I140" s="8">
        <f>12201.64*0.5*0.85*0.95</f>
        <v>4926.4121499999992</v>
      </c>
      <c r="J140" s="8">
        <v>6287.4</v>
      </c>
      <c r="K140" s="17" t="s">
        <v>192</v>
      </c>
      <c r="L140" s="5">
        <f t="shared" si="1"/>
        <v>4144.1878500000003</v>
      </c>
    </row>
    <row r="141" spans="1:12" s="1" customFormat="1" ht="16.2" x14ac:dyDescent="0.3">
      <c r="A141" s="10">
        <v>41239</v>
      </c>
      <c r="B141" s="17" t="s">
        <v>179</v>
      </c>
      <c r="C141" s="17" t="s">
        <v>189</v>
      </c>
      <c r="D141" s="17" t="s">
        <v>63</v>
      </c>
      <c r="E141" s="17" t="s">
        <v>21</v>
      </c>
      <c r="F141" s="17" t="s">
        <v>186</v>
      </c>
      <c r="G141" s="11" t="s">
        <v>150</v>
      </c>
      <c r="H141" s="5">
        <v>1244</v>
      </c>
      <c r="I141" s="8">
        <f>27113.8/35.5</f>
        <v>763.76901408450703</v>
      </c>
      <c r="J141" s="8">
        <v>48</v>
      </c>
      <c r="K141" s="17" t="s">
        <v>192</v>
      </c>
      <c r="L141" s="5">
        <f t="shared" si="1"/>
        <v>432.23098591549297</v>
      </c>
    </row>
    <row r="142" spans="1:12" s="1" customFormat="1" ht="16.2" x14ac:dyDescent="0.3">
      <c r="A142" s="10">
        <v>41239</v>
      </c>
      <c r="B142" s="17" t="s">
        <v>179</v>
      </c>
      <c r="C142" s="17" t="s">
        <v>181</v>
      </c>
      <c r="D142" s="17" t="s">
        <v>63</v>
      </c>
      <c r="E142" s="17" t="s">
        <v>21</v>
      </c>
      <c r="F142" s="17" t="s">
        <v>186</v>
      </c>
      <c r="G142" s="11" t="s">
        <v>151</v>
      </c>
      <c r="H142" s="5">
        <v>1157</v>
      </c>
      <c r="I142" s="8">
        <f>32486/35.5</f>
        <v>915.09859154929575</v>
      </c>
      <c r="J142" s="8">
        <v>614</v>
      </c>
      <c r="K142" s="17" t="s">
        <v>192</v>
      </c>
      <c r="L142" s="5">
        <f t="shared" si="1"/>
        <v>-372.09859154929575</v>
      </c>
    </row>
    <row r="143" spans="1:12" s="1" customFormat="1" ht="16.2" x14ac:dyDescent="0.3">
      <c r="A143" s="10">
        <v>41239</v>
      </c>
      <c r="B143" s="17" t="s">
        <v>179</v>
      </c>
      <c r="C143" s="17" t="s">
        <v>182</v>
      </c>
      <c r="D143" s="17" t="s">
        <v>20</v>
      </c>
      <c r="E143" s="17" t="s">
        <v>21</v>
      </c>
      <c r="F143" s="17" t="s">
        <v>185</v>
      </c>
      <c r="G143" s="11" t="s">
        <v>152</v>
      </c>
      <c r="H143" s="5">
        <v>9411</v>
      </c>
      <c r="I143" s="8">
        <f>12088/1.48</f>
        <v>8167.5675675675675</v>
      </c>
      <c r="J143" s="8">
        <v>4769</v>
      </c>
      <c r="K143" s="17" t="s">
        <v>192</v>
      </c>
      <c r="L143" s="5">
        <f t="shared" si="1"/>
        <v>-3525.5675675675675</v>
      </c>
    </row>
    <row r="144" spans="1:12" s="1" customFormat="1" ht="16.2" x14ac:dyDescent="0.3">
      <c r="A144" s="2">
        <v>41241</v>
      </c>
      <c r="B144" s="17" t="s">
        <v>179</v>
      </c>
      <c r="C144" s="17" t="s">
        <v>181</v>
      </c>
      <c r="D144" s="17" t="s">
        <v>20</v>
      </c>
      <c r="E144" s="17" t="s">
        <v>21</v>
      </c>
      <c r="F144" s="17" t="s">
        <v>185</v>
      </c>
      <c r="G144" s="4" t="s">
        <v>27</v>
      </c>
      <c r="H144" s="5">
        <v>6081.12</v>
      </c>
      <c r="I144" s="5">
        <v>1920.32</v>
      </c>
      <c r="J144" s="5">
        <v>1743</v>
      </c>
      <c r="K144" s="17" t="s">
        <v>192</v>
      </c>
      <c r="L144" s="5">
        <f t="shared" si="1"/>
        <v>2417.8000000000002</v>
      </c>
    </row>
    <row r="145" spans="1:12" s="1" customFormat="1" ht="16.2" x14ac:dyDescent="0.3">
      <c r="A145" s="10">
        <v>41241</v>
      </c>
      <c r="B145" s="17" t="s">
        <v>179</v>
      </c>
      <c r="C145" s="17" t="s">
        <v>197</v>
      </c>
      <c r="D145" s="17" t="s">
        <v>10</v>
      </c>
      <c r="E145" s="17" t="s">
        <v>13</v>
      </c>
      <c r="F145" s="17" t="s">
        <v>184</v>
      </c>
      <c r="G145" s="11" t="s">
        <v>148</v>
      </c>
      <c r="H145" s="5">
        <v>4330.4799999999996</v>
      </c>
      <c r="I145" s="8">
        <f>4058.6*0.39</f>
        <v>1582.854</v>
      </c>
      <c r="J145" s="8">
        <v>626.66</v>
      </c>
      <c r="K145" s="17" t="s">
        <v>187</v>
      </c>
      <c r="L145" s="5">
        <f t="shared" si="1"/>
        <v>2120.9659999999994</v>
      </c>
    </row>
    <row r="146" spans="1:12" s="1" customFormat="1" ht="16.2" x14ac:dyDescent="0.3">
      <c r="A146" s="10">
        <v>41247</v>
      </c>
      <c r="B146" s="17" t="s">
        <v>180</v>
      </c>
      <c r="C146" s="17" t="s">
        <v>189</v>
      </c>
      <c r="D146" s="17" t="s">
        <v>20</v>
      </c>
      <c r="E146" s="17" t="s">
        <v>66</v>
      </c>
      <c r="F146" s="17" t="s">
        <v>185</v>
      </c>
      <c r="G146" s="13" t="s">
        <v>153</v>
      </c>
      <c r="H146" s="12">
        <v>2913.6</v>
      </c>
      <c r="I146" s="8">
        <v>1092.5999999999999</v>
      </c>
      <c r="J146" s="8">
        <v>731.59</v>
      </c>
      <c r="K146" s="17" t="s">
        <v>192</v>
      </c>
      <c r="L146" s="5">
        <f t="shared" ref="L146:L163" si="2">H146-I146-J146</f>
        <v>1089.4099999999999</v>
      </c>
    </row>
    <row r="147" spans="1:12" s="1" customFormat="1" ht="16.2" x14ac:dyDescent="0.3">
      <c r="A147" s="10">
        <v>41247</v>
      </c>
      <c r="B147" s="17" t="s">
        <v>180</v>
      </c>
      <c r="C147" s="17" t="s">
        <v>189</v>
      </c>
      <c r="D147" s="17" t="s">
        <v>85</v>
      </c>
      <c r="E147" s="17" t="s">
        <v>33</v>
      </c>
      <c r="F147" s="17" t="s">
        <v>185</v>
      </c>
      <c r="G147" s="13" t="s">
        <v>154</v>
      </c>
      <c r="H147" s="12">
        <v>1129.2</v>
      </c>
      <c r="I147" s="8">
        <f>621*0.55*0.9</f>
        <v>307.39500000000004</v>
      </c>
      <c r="J147" s="8">
        <v>265.17</v>
      </c>
      <c r="K147" s="17" t="s">
        <v>192</v>
      </c>
      <c r="L147" s="5">
        <f t="shared" si="2"/>
        <v>556.63499999999999</v>
      </c>
    </row>
    <row r="148" spans="1:12" s="1" customFormat="1" ht="16.2" x14ac:dyDescent="0.3">
      <c r="A148" s="10">
        <v>41247</v>
      </c>
      <c r="B148" s="17" t="s">
        <v>180</v>
      </c>
      <c r="C148" s="17" t="s">
        <v>197</v>
      </c>
      <c r="D148" s="17" t="s">
        <v>107</v>
      </c>
      <c r="E148" s="17" t="s">
        <v>33</v>
      </c>
      <c r="F148" s="17" t="s">
        <v>185</v>
      </c>
      <c r="G148" s="13" t="s">
        <v>155</v>
      </c>
      <c r="H148" s="12">
        <v>240</v>
      </c>
      <c r="I148" s="8">
        <v>400.95</v>
      </c>
      <c r="J148" s="8">
        <v>2.4500000000000002</v>
      </c>
      <c r="K148" s="17" t="s">
        <v>191</v>
      </c>
      <c r="L148" s="5">
        <f t="shared" si="2"/>
        <v>-163.39999999999998</v>
      </c>
    </row>
    <row r="149" spans="1:12" s="1" customFormat="1" ht="16.2" x14ac:dyDescent="0.3">
      <c r="A149" s="10">
        <v>41247</v>
      </c>
      <c r="B149" s="17" t="s">
        <v>180</v>
      </c>
      <c r="C149" s="17" t="s">
        <v>182</v>
      </c>
      <c r="D149" s="17" t="s">
        <v>107</v>
      </c>
      <c r="E149" s="17" t="s">
        <v>33</v>
      </c>
      <c r="F149" s="17" t="s">
        <v>185</v>
      </c>
      <c r="G149" s="13" t="s">
        <v>156</v>
      </c>
      <c r="H149" s="12">
        <v>1200</v>
      </c>
      <c r="I149" s="8">
        <v>356.4</v>
      </c>
      <c r="J149" s="8">
        <v>12.26</v>
      </c>
      <c r="K149" s="17" t="s">
        <v>191</v>
      </c>
      <c r="L149" s="5">
        <f t="shared" si="2"/>
        <v>831.34</v>
      </c>
    </row>
    <row r="150" spans="1:12" s="1" customFormat="1" ht="16.2" x14ac:dyDescent="0.3">
      <c r="A150" s="10">
        <v>41248</v>
      </c>
      <c r="B150" s="17" t="s">
        <v>180</v>
      </c>
      <c r="C150" s="17" t="s">
        <v>197</v>
      </c>
      <c r="D150" s="17" t="s">
        <v>10</v>
      </c>
      <c r="E150" s="17" t="s">
        <v>13</v>
      </c>
      <c r="F150" s="17" t="s">
        <v>184</v>
      </c>
      <c r="G150" s="11" t="s">
        <v>157</v>
      </c>
      <c r="H150" s="8">
        <f>118100.08/35.85</f>
        <v>3294.2839609483958</v>
      </c>
      <c r="I150" s="8">
        <f>5145.44*0.39</f>
        <v>2006.7215999999999</v>
      </c>
      <c r="J150" s="8">
        <v>509.38</v>
      </c>
      <c r="K150" s="17" t="s">
        <v>187</v>
      </c>
      <c r="L150" s="5">
        <f t="shared" si="2"/>
        <v>778.18236094839597</v>
      </c>
    </row>
    <row r="151" spans="1:12" s="1" customFormat="1" ht="16.2" x14ac:dyDescent="0.3">
      <c r="A151" s="10">
        <v>41249</v>
      </c>
      <c r="B151" s="17" t="s">
        <v>180</v>
      </c>
      <c r="C151" s="17" t="s">
        <v>181</v>
      </c>
      <c r="D151" s="17" t="s">
        <v>20</v>
      </c>
      <c r="E151" s="17" t="s">
        <v>21</v>
      </c>
      <c r="F151" s="17" t="s">
        <v>185</v>
      </c>
      <c r="G151" s="11" t="s">
        <v>158</v>
      </c>
      <c r="H151" s="8">
        <v>17330.62</v>
      </c>
      <c r="I151" s="8">
        <f>14977.16*0.5*0.85*0.95</f>
        <v>6047.0283499999996</v>
      </c>
      <c r="J151" s="8">
        <v>4510.1400000000003</v>
      </c>
      <c r="K151" s="17" t="s">
        <v>192</v>
      </c>
      <c r="L151" s="5">
        <f t="shared" si="2"/>
        <v>6773.4516499999982</v>
      </c>
    </row>
    <row r="152" spans="1:12" s="1" customFormat="1" ht="16.2" x14ac:dyDescent="0.3">
      <c r="A152" s="10">
        <v>41249</v>
      </c>
      <c r="B152" s="17" t="s">
        <v>180</v>
      </c>
      <c r="C152" s="17" t="s">
        <v>181</v>
      </c>
      <c r="D152" s="17" t="s">
        <v>10</v>
      </c>
      <c r="E152" s="17" t="s">
        <v>13</v>
      </c>
      <c r="F152" s="17" t="s">
        <v>184</v>
      </c>
      <c r="G152" s="11" t="s">
        <v>159</v>
      </c>
      <c r="H152" s="12">
        <v>2185.92</v>
      </c>
      <c r="I152" s="8">
        <f>2950.8*0.39</f>
        <v>1150.8120000000001</v>
      </c>
      <c r="J152" s="8">
        <v>254.69</v>
      </c>
      <c r="K152" s="17" t="s">
        <v>187</v>
      </c>
      <c r="L152" s="5">
        <f t="shared" si="2"/>
        <v>780.41799999999989</v>
      </c>
    </row>
    <row r="153" spans="1:12" s="1" customFormat="1" ht="16.2" x14ac:dyDescent="0.3">
      <c r="A153" s="10">
        <v>41249</v>
      </c>
      <c r="B153" s="17" t="s">
        <v>180</v>
      </c>
      <c r="C153" s="17" t="s">
        <v>181</v>
      </c>
      <c r="D153" s="17" t="s">
        <v>20</v>
      </c>
      <c r="E153" s="17" t="s">
        <v>21</v>
      </c>
      <c r="F153" s="17" t="s">
        <v>185</v>
      </c>
      <c r="G153" s="11" t="s">
        <v>160</v>
      </c>
      <c r="H153" s="12">
        <v>332</v>
      </c>
      <c r="I153" s="8">
        <v>415</v>
      </c>
      <c r="J153" s="8">
        <v>76</v>
      </c>
      <c r="K153" s="17" t="s">
        <v>192</v>
      </c>
      <c r="L153" s="5">
        <f t="shared" si="2"/>
        <v>-159</v>
      </c>
    </row>
    <row r="154" spans="1:12" s="1" customFormat="1" ht="16.2" x14ac:dyDescent="0.3">
      <c r="A154" s="10">
        <v>41249</v>
      </c>
      <c r="B154" s="17" t="s">
        <v>180</v>
      </c>
      <c r="C154" s="17" t="s">
        <v>182</v>
      </c>
      <c r="D154" s="17" t="s">
        <v>20</v>
      </c>
      <c r="E154" s="17" t="s">
        <v>21</v>
      </c>
      <c r="F154" s="17" t="s">
        <v>185</v>
      </c>
      <c r="G154" s="11" t="s">
        <v>161</v>
      </c>
      <c r="H154" s="8">
        <f>66503.3/35.85</f>
        <v>1855.0432357043235</v>
      </c>
      <c r="I154" s="8">
        <f>2207*0.5*0.85*0.95</f>
        <v>891.07624999999996</v>
      </c>
      <c r="J154" s="8">
        <v>852.71</v>
      </c>
      <c r="K154" s="17" t="s">
        <v>192</v>
      </c>
      <c r="L154" s="5">
        <f t="shared" si="2"/>
        <v>111.25698570432348</v>
      </c>
    </row>
    <row r="155" spans="1:12" s="1" customFormat="1" ht="16.2" x14ac:dyDescent="0.3">
      <c r="A155" s="10">
        <v>41249</v>
      </c>
      <c r="B155" s="17" t="s">
        <v>180</v>
      </c>
      <c r="C155" s="17" t="s">
        <v>189</v>
      </c>
      <c r="D155" s="17" t="s">
        <v>107</v>
      </c>
      <c r="E155" s="17" t="s">
        <v>33</v>
      </c>
      <c r="F155" s="17" t="s">
        <v>185</v>
      </c>
      <c r="G155" s="11" t="s">
        <v>162</v>
      </c>
      <c r="H155" s="8">
        <v>4164.66</v>
      </c>
      <c r="I155" s="8">
        <f>2722*0.55*0.9*0.9</f>
        <v>1212.6510000000001</v>
      </c>
      <c r="J155" s="8">
        <f>168.98+88</f>
        <v>256.98</v>
      </c>
      <c r="K155" s="17" t="s">
        <v>191</v>
      </c>
      <c r="L155" s="5">
        <f t="shared" si="2"/>
        <v>2695.029</v>
      </c>
    </row>
    <row r="156" spans="1:12" s="1" customFormat="1" ht="16.2" x14ac:dyDescent="0.3">
      <c r="A156" s="10">
        <v>41249</v>
      </c>
      <c r="B156" s="17" t="s">
        <v>180</v>
      </c>
      <c r="C156" s="17" t="s">
        <v>189</v>
      </c>
      <c r="D156" s="17" t="s">
        <v>10</v>
      </c>
      <c r="E156" s="17" t="s">
        <v>13</v>
      </c>
      <c r="F156" s="17" t="s">
        <v>184</v>
      </c>
      <c r="G156" s="11" t="s">
        <v>163</v>
      </c>
      <c r="H156" s="8">
        <v>3883.53</v>
      </c>
      <c r="I156" s="8">
        <f>3092.87*0.39</f>
        <v>1206.2193</v>
      </c>
      <c r="J156" s="8">
        <v>491</v>
      </c>
      <c r="K156" s="17" t="s">
        <v>187</v>
      </c>
      <c r="L156" s="5">
        <f t="shared" si="2"/>
        <v>2186.3107</v>
      </c>
    </row>
    <row r="157" spans="1:12" s="1" customFormat="1" ht="16.2" x14ac:dyDescent="0.3">
      <c r="A157" s="2">
        <v>41261</v>
      </c>
      <c r="B157" s="17" t="s">
        <v>180</v>
      </c>
      <c r="C157" s="17" t="s">
        <v>197</v>
      </c>
      <c r="D157" s="17" t="s">
        <v>29</v>
      </c>
      <c r="E157" s="17" t="s">
        <v>30</v>
      </c>
      <c r="F157" s="17" t="s">
        <v>185</v>
      </c>
      <c r="G157" s="4" t="s">
        <v>31</v>
      </c>
      <c r="H157" s="5">
        <v>4000</v>
      </c>
      <c r="I157" s="5">
        <v>1733</v>
      </c>
      <c r="J157" s="5">
        <v>2061.35</v>
      </c>
      <c r="K157" s="17" t="s">
        <v>187</v>
      </c>
      <c r="L157" s="5">
        <f t="shared" si="2"/>
        <v>205.65000000000009</v>
      </c>
    </row>
    <row r="158" spans="1:12" s="1" customFormat="1" ht="16.2" x14ac:dyDescent="0.3">
      <c r="A158" s="10">
        <v>41262</v>
      </c>
      <c r="B158" s="17" t="s">
        <v>180</v>
      </c>
      <c r="C158" s="17" t="s">
        <v>181</v>
      </c>
      <c r="D158" s="17" t="s">
        <v>20</v>
      </c>
      <c r="E158" s="17" t="s">
        <v>21</v>
      </c>
      <c r="F158" s="17" t="s">
        <v>185</v>
      </c>
      <c r="G158" s="11" t="s">
        <v>164</v>
      </c>
      <c r="H158" s="8">
        <v>12562</v>
      </c>
      <c r="I158" s="8">
        <f>14083.6*0.5*0.85*0.95</f>
        <v>5686.2534999999998</v>
      </c>
      <c r="J158" s="8">
        <v>3221.53</v>
      </c>
      <c r="K158" s="17" t="s">
        <v>192</v>
      </c>
      <c r="L158" s="5">
        <f t="shared" si="2"/>
        <v>3654.2165</v>
      </c>
    </row>
    <row r="159" spans="1:12" s="1" customFormat="1" ht="16.2" x14ac:dyDescent="0.3">
      <c r="A159" s="10">
        <v>41262</v>
      </c>
      <c r="B159" s="17" t="s">
        <v>180</v>
      </c>
      <c r="C159" s="17" t="s">
        <v>189</v>
      </c>
      <c r="D159" s="17" t="s">
        <v>104</v>
      </c>
      <c r="E159" s="17" t="s">
        <v>167</v>
      </c>
      <c r="F159" s="17" t="s">
        <v>185</v>
      </c>
      <c r="G159" s="11" t="s">
        <v>106</v>
      </c>
      <c r="H159" s="8">
        <v>2750</v>
      </c>
      <c r="I159" s="8">
        <v>1026.5999999999999</v>
      </c>
      <c r="J159" s="8">
        <v>1147.0999999999999</v>
      </c>
      <c r="K159" s="17" t="s">
        <v>191</v>
      </c>
      <c r="L159" s="5">
        <f t="shared" si="2"/>
        <v>576.30000000000018</v>
      </c>
    </row>
    <row r="160" spans="1:12" s="1" customFormat="1" ht="16.2" x14ac:dyDescent="0.3">
      <c r="A160" s="10">
        <v>41262</v>
      </c>
      <c r="B160" s="17" t="s">
        <v>180</v>
      </c>
      <c r="C160" s="17" t="s">
        <v>181</v>
      </c>
      <c r="D160" s="17" t="s">
        <v>10</v>
      </c>
      <c r="E160" s="17" t="s">
        <v>13</v>
      </c>
      <c r="F160" s="17" t="s">
        <v>184</v>
      </c>
      <c r="G160" s="11" t="s">
        <v>165</v>
      </c>
      <c r="H160" s="8">
        <v>1400</v>
      </c>
      <c r="I160" s="8">
        <f>1161.42*0.39</f>
        <v>452.95380000000006</v>
      </c>
      <c r="J160" s="8">
        <v>156.66999999999999</v>
      </c>
      <c r="K160" s="17" t="s">
        <v>187</v>
      </c>
      <c r="L160" s="5">
        <f t="shared" si="2"/>
        <v>790.37620000000004</v>
      </c>
    </row>
    <row r="161" spans="1:13" s="1" customFormat="1" ht="16.2" x14ac:dyDescent="0.3">
      <c r="A161" s="2">
        <v>41263</v>
      </c>
      <c r="B161" s="17" t="s">
        <v>180</v>
      </c>
      <c r="C161" s="17" t="s">
        <v>189</v>
      </c>
      <c r="D161" s="17" t="s">
        <v>10</v>
      </c>
      <c r="E161" s="17" t="s">
        <v>11</v>
      </c>
      <c r="F161" s="17" t="s">
        <v>184</v>
      </c>
      <c r="G161" s="3" t="s">
        <v>25</v>
      </c>
      <c r="H161" s="5">
        <v>6265.98</v>
      </c>
      <c r="I161" s="5">
        <f>844.24+750.63</f>
        <v>1594.87</v>
      </c>
      <c r="J161" s="5">
        <v>477.5</v>
      </c>
      <c r="K161" s="17" t="s">
        <v>187</v>
      </c>
      <c r="L161" s="5">
        <f t="shared" si="2"/>
        <v>4193.6099999999997</v>
      </c>
    </row>
    <row r="162" spans="1:13" s="1" customFormat="1" ht="16.2" x14ac:dyDescent="0.3">
      <c r="A162" s="2">
        <v>41268</v>
      </c>
      <c r="B162" s="17" t="s">
        <v>180</v>
      </c>
      <c r="C162" s="17" t="s">
        <v>189</v>
      </c>
      <c r="D162" s="17" t="s">
        <v>10</v>
      </c>
      <c r="E162" s="17" t="s">
        <v>11</v>
      </c>
      <c r="F162" s="17" t="s">
        <v>184</v>
      </c>
      <c r="G162" s="4" t="s">
        <v>24</v>
      </c>
      <c r="H162" s="5">
        <v>4393.6099999999997</v>
      </c>
      <c r="I162" s="5">
        <v>1472.33</v>
      </c>
      <c r="J162" s="5">
        <v>191</v>
      </c>
      <c r="K162" s="17" t="s">
        <v>187</v>
      </c>
      <c r="L162" s="5">
        <f t="shared" si="2"/>
        <v>2730.2799999999997</v>
      </c>
    </row>
    <row r="163" spans="1:13" s="1" customFormat="1" ht="16.2" x14ac:dyDescent="0.3">
      <c r="A163" s="10">
        <v>41271</v>
      </c>
      <c r="B163" s="17" t="s">
        <v>180</v>
      </c>
      <c r="C163" s="17" t="s">
        <v>197</v>
      </c>
      <c r="D163" s="17" t="s">
        <v>32</v>
      </c>
      <c r="E163" s="17" t="s">
        <v>33</v>
      </c>
      <c r="F163" s="17" t="s">
        <v>185</v>
      </c>
      <c r="G163" s="4" t="s">
        <v>34</v>
      </c>
      <c r="H163" s="5">
        <v>2972</v>
      </c>
      <c r="I163" s="5">
        <v>2104.65</v>
      </c>
      <c r="J163" s="5">
        <v>565.30999999999995</v>
      </c>
      <c r="K163" s="17" t="s">
        <v>191</v>
      </c>
      <c r="L163" s="5">
        <f t="shared" si="2"/>
        <v>302.03999999999996</v>
      </c>
    </row>
    <row r="164" spans="1:13" s="1" customFormat="1" ht="16.2" x14ac:dyDescent="0.3">
      <c r="A164" s="10"/>
      <c r="B164" s="17" t="s">
        <v>180</v>
      </c>
      <c r="C164" s="17" t="s">
        <v>181</v>
      </c>
      <c r="D164" s="17" t="s">
        <v>32</v>
      </c>
      <c r="E164" s="17" t="s">
        <v>167</v>
      </c>
      <c r="F164" s="17" t="s">
        <v>185</v>
      </c>
      <c r="G164" s="4"/>
      <c r="H164" s="5">
        <v>0</v>
      </c>
      <c r="I164" s="5">
        <v>0</v>
      </c>
      <c r="J164" s="5">
        <v>0</v>
      </c>
      <c r="K164" s="17"/>
      <c r="L164" s="8">
        <f t="shared" ref="L164:L173" si="3">H164-I164-J164</f>
        <v>0</v>
      </c>
    </row>
    <row r="165" spans="1:13" s="1" customFormat="1" ht="16.2" x14ac:dyDescent="0.3">
      <c r="A165" s="10"/>
      <c r="B165" s="17" t="s">
        <v>180</v>
      </c>
      <c r="C165" s="17" t="s">
        <v>181</v>
      </c>
      <c r="D165" s="17" t="s">
        <v>32</v>
      </c>
      <c r="E165" s="17" t="s">
        <v>66</v>
      </c>
      <c r="F165" s="17" t="s">
        <v>185</v>
      </c>
      <c r="G165" s="4"/>
      <c r="H165" s="5">
        <v>0</v>
      </c>
      <c r="I165" s="5">
        <v>0</v>
      </c>
      <c r="J165" s="5">
        <v>0</v>
      </c>
      <c r="K165" s="17"/>
      <c r="L165" s="8">
        <f t="shared" si="3"/>
        <v>0</v>
      </c>
    </row>
    <row r="166" spans="1:13" x14ac:dyDescent="0.3">
      <c r="A166" s="10"/>
      <c r="B166" s="17" t="s">
        <v>180</v>
      </c>
      <c r="C166" s="17" t="s">
        <v>183</v>
      </c>
      <c r="D166" s="17" t="s">
        <v>32</v>
      </c>
      <c r="E166" s="17" t="s">
        <v>167</v>
      </c>
      <c r="F166" s="17" t="s">
        <v>185</v>
      </c>
      <c r="H166" s="5">
        <v>0</v>
      </c>
      <c r="I166" s="5">
        <v>0</v>
      </c>
      <c r="J166" s="5">
        <v>0</v>
      </c>
      <c r="K166" s="17"/>
      <c r="L166" s="5">
        <f t="shared" si="3"/>
        <v>0</v>
      </c>
    </row>
    <row r="167" spans="1:13" x14ac:dyDescent="0.3">
      <c r="A167" s="10"/>
      <c r="B167" s="17" t="s">
        <v>180</v>
      </c>
      <c r="C167" s="17" t="s">
        <v>183</v>
      </c>
      <c r="D167" s="17" t="s">
        <v>32</v>
      </c>
      <c r="E167" s="17" t="s">
        <v>66</v>
      </c>
      <c r="F167" s="17" t="s">
        <v>185</v>
      </c>
      <c r="H167" s="5">
        <v>0</v>
      </c>
      <c r="I167" s="5">
        <v>0</v>
      </c>
      <c r="J167" s="5">
        <v>0</v>
      </c>
      <c r="K167" s="17"/>
      <c r="L167" s="5">
        <f t="shared" si="3"/>
        <v>0</v>
      </c>
      <c r="M167" s="15"/>
    </row>
    <row r="168" spans="1:13" x14ac:dyDescent="0.3">
      <c r="A168" s="10"/>
      <c r="B168" s="17" t="s">
        <v>180</v>
      </c>
      <c r="C168" s="17" t="s">
        <v>197</v>
      </c>
      <c r="D168" s="17" t="s">
        <v>32</v>
      </c>
      <c r="E168" s="17" t="s">
        <v>66</v>
      </c>
      <c r="F168" s="17" t="s">
        <v>185</v>
      </c>
      <c r="H168" s="5">
        <v>0</v>
      </c>
      <c r="I168" s="5">
        <v>0</v>
      </c>
      <c r="J168" s="5">
        <v>0</v>
      </c>
      <c r="K168" s="17"/>
      <c r="L168" s="5">
        <f t="shared" si="3"/>
        <v>0</v>
      </c>
    </row>
    <row r="169" spans="1:13" x14ac:dyDescent="0.3">
      <c r="A169" s="10"/>
      <c r="B169" s="17" t="s">
        <v>180</v>
      </c>
      <c r="C169" s="17" t="s">
        <v>197</v>
      </c>
      <c r="D169" s="17" t="s">
        <v>32</v>
      </c>
      <c r="E169" s="17" t="s">
        <v>11</v>
      </c>
      <c r="F169" s="17" t="s">
        <v>185</v>
      </c>
      <c r="H169" s="5">
        <v>0</v>
      </c>
      <c r="I169" s="5">
        <v>0</v>
      </c>
      <c r="J169" s="5">
        <v>0</v>
      </c>
      <c r="K169" s="17"/>
      <c r="L169" s="5">
        <f t="shared" si="3"/>
        <v>0</v>
      </c>
    </row>
    <row r="170" spans="1:13" x14ac:dyDescent="0.3">
      <c r="A170" s="10"/>
      <c r="B170" s="17" t="s">
        <v>180</v>
      </c>
      <c r="C170" s="17" t="s">
        <v>183</v>
      </c>
      <c r="D170" s="17" t="s">
        <v>32</v>
      </c>
      <c r="E170" s="17" t="s">
        <v>11</v>
      </c>
      <c r="F170" s="17" t="s">
        <v>185</v>
      </c>
      <c r="H170" s="5">
        <v>0</v>
      </c>
      <c r="I170" s="5">
        <v>0</v>
      </c>
      <c r="J170" s="5">
        <v>0</v>
      </c>
      <c r="K170" s="17"/>
      <c r="L170" s="5">
        <f t="shared" si="3"/>
        <v>0</v>
      </c>
    </row>
    <row r="171" spans="1:13" x14ac:dyDescent="0.3">
      <c r="A171" s="10"/>
      <c r="B171" s="17" t="s">
        <v>180</v>
      </c>
      <c r="C171" s="17" t="s">
        <v>181</v>
      </c>
      <c r="D171" s="17" t="s">
        <v>32</v>
      </c>
      <c r="E171" s="17" t="s">
        <v>11</v>
      </c>
      <c r="F171" s="17" t="s">
        <v>185</v>
      </c>
      <c r="H171" s="5">
        <v>0</v>
      </c>
      <c r="I171" s="5">
        <v>0</v>
      </c>
      <c r="J171" s="5">
        <v>0</v>
      </c>
      <c r="K171" s="17"/>
      <c r="L171" s="5">
        <f t="shared" si="3"/>
        <v>0</v>
      </c>
    </row>
    <row r="172" spans="1:13" x14ac:dyDescent="0.3">
      <c r="A172" s="10"/>
      <c r="B172" s="17" t="s">
        <v>180</v>
      </c>
      <c r="C172" s="17" t="s">
        <v>182</v>
      </c>
      <c r="D172" s="17" t="s">
        <v>32</v>
      </c>
      <c r="E172" s="17" t="s">
        <v>11</v>
      </c>
      <c r="F172" s="17" t="s">
        <v>185</v>
      </c>
      <c r="H172" s="5">
        <v>0</v>
      </c>
      <c r="I172" s="5">
        <v>0</v>
      </c>
      <c r="J172" s="5">
        <v>0</v>
      </c>
      <c r="K172" s="17"/>
      <c r="L172" s="5">
        <f t="shared" si="3"/>
        <v>0</v>
      </c>
    </row>
    <row r="173" spans="1:13" x14ac:dyDescent="0.3">
      <c r="A173" s="10"/>
      <c r="B173" s="17" t="s">
        <v>180</v>
      </c>
      <c r="C173" s="17" t="s">
        <v>182</v>
      </c>
      <c r="D173" s="17" t="s">
        <v>32</v>
      </c>
      <c r="E173" s="17" t="s">
        <v>66</v>
      </c>
      <c r="F173" s="17" t="s">
        <v>185</v>
      </c>
      <c r="H173" s="5">
        <v>0</v>
      </c>
      <c r="I173" s="5">
        <v>0</v>
      </c>
      <c r="J173" s="5">
        <v>0</v>
      </c>
      <c r="K173" s="17"/>
      <c r="L173" s="5">
        <f t="shared" si="3"/>
        <v>0</v>
      </c>
    </row>
    <row r="174" spans="1:13" x14ac:dyDescent="0.3">
      <c r="A174" s="10"/>
      <c r="B174" s="17" t="s">
        <v>169</v>
      </c>
      <c r="C174" s="17" t="s">
        <v>182</v>
      </c>
      <c r="D174" s="17" t="s">
        <v>32</v>
      </c>
      <c r="E174" s="17" t="s">
        <v>33</v>
      </c>
      <c r="F174" s="17" t="s">
        <v>186</v>
      </c>
      <c r="H174" s="5">
        <v>0</v>
      </c>
      <c r="I174" s="5">
        <v>0</v>
      </c>
      <c r="J174" s="5">
        <v>0</v>
      </c>
      <c r="K174" s="17"/>
      <c r="L174" s="5">
        <f>H174-I174-J174</f>
        <v>0</v>
      </c>
    </row>
    <row r="175" spans="1:13" x14ac:dyDescent="0.3">
      <c r="A175" s="10"/>
      <c r="B175" s="17" t="s">
        <v>169</v>
      </c>
      <c r="C175" s="17" t="s">
        <v>182</v>
      </c>
      <c r="D175" s="17" t="s">
        <v>32</v>
      </c>
      <c r="E175" s="17" t="s">
        <v>66</v>
      </c>
      <c r="F175" s="17" t="s">
        <v>186</v>
      </c>
      <c r="H175" s="5">
        <v>0</v>
      </c>
      <c r="I175" s="5">
        <v>0</v>
      </c>
      <c r="J175" s="5">
        <v>0</v>
      </c>
      <c r="K175" s="17"/>
      <c r="L175" s="5">
        <f>H175-I175-J175</f>
        <v>0</v>
      </c>
    </row>
    <row r="176" spans="1:13" x14ac:dyDescent="0.3">
      <c r="A176" s="10"/>
      <c r="B176" s="17" t="s">
        <v>169</v>
      </c>
      <c r="C176" s="17" t="s">
        <v>182</v>
      </c>
      <c r="D176" s="17" t="s">
        <v>32</v>
      </c>
      <c r="E176" s="17" t="s">
        <v>167</v>
      </c>
      <c r="F176" s="17" t="s">
        <v>186</v>
      </c>
      <c r="H176" s="5">
        <v>0</v>
      </c>
      <c r="I176" s="5">
        <v>0</v>
      </c>
      <c r="J176" s="5">
        <v>0</v>
      </c>
      <c r="K176" s="17"/>
      <c r="L176" s="5">
        <f>H176-I176-J176</f>
        <v>0</v>
      </c>
    </row>
    <row r="177" spans="1:12" x14ac:dyDescent="0.3">
      <c r="A177" s="10"/>
      <c r="B177" s="17" t="s">
        <v>169</v>
      </c>
      <c r="C177" s="17" t="s">
        <v>182</v>
      </c>
      <c r="D177" s="17" t="s">
        <v>32</v>
      </c>
      <c r="E177" s="17" t="s">
        <v>11</v>
      </c>
      <c r="F177" s="17" t="s">
        <v>186</v>
      </c>
      <c r="H177" s="5">
        <v>0</v>
      </c>
      <c r="I177" s="5">
        <v>0</v>
      </c>
      <c r="J177" s="5">
        <v>0</v>
      </c>
      <c r="K177" s="17"/>
      <c r="L177" s="5">
        <f>H177-I177-J177</f>
        <v>0</v>
      </c>
    </row>
    <row r="178" spans="1:12" x14ac:dyDescent="0.3">
      <c r="A178" s="10"/>
      <c r="B178" s="17" t="s">
        <v>170</v>
      </c>
      <c r="C178" s="17" t="s">
        <v>182</v>
      </c>
      <c r="D178" s="17" t="s">
        <v>32</v>
      </c>
      <c r="E178" s="17" t="s">
        <v>33</v>
      </c>
      <c r="F178" s="17" t="s">
        <v>186</v>
      </c>
      <c r="H178" s="5">
        <v>0</v>
      </c>
      <c r="I178" s="5">
        <v>0</v>
      </c>
      <c r="J178" s="5">
        <v>0</v>
      </c>
      <c r="K178" s="17"/>
      <c r="L178" s="5">
        <f t="shared" ref="L178:L182" si="4">H178-I178-J178</f>
        <v>0</v>
      </c>
    </row>
    <row r="179" spans="1:12" x14ac:dyDescent="0.3">
      <c r="A179" s="10"/>
      <c r="B179" s="17" t="s">
        <v>170</v>
      </c>
      <c r="C179" s="17" t="s">
        <v>182</v>
      </c>
      <c r="D179" s="17" t="s">
        <v>32</v>
      </c>
      <c r="E179" s="17" t="s">
        <v>30</v>
      </c>
      <c r="F179" s="17" t="s">
        <v>186</v>
      </c>
      <c r="H179" s="5">
        <v>0</v>
      </c>
      <c r="I179" s="5">
        <v>0</v>
      </c>
      <c r="J179" s="5">
        <v>0</v>
      </c>
      <c r="K179" s="17"/>
      <c r="L179" s="5">
        <f t="shared" si="4"/>
        <v>0</v>
      </c>
    </row>
    <row r="180" spans="1:12" x14ac:dyDescent="0.3">
      <c r="A180" s="10"/>
      <c r="B180" s="17" t="s">
        <v>170</v>
      </c>
      <c r="C180" s="17" t="s">
        <v>182</v>
      </c>
      <c r="D180" s="17" t="s">
        <v>32</v>
      </c>
      <c r="E180" s="17" t="s">
        <v>66</v>
      </c>
      <c r="F180" s="17" t="s">
        <v>186</v>
      </c>
      <c r="H180" s="5">
        <v>0</v>
      </c>
      <c r="I180" s="5">
        <v>0</v>
      </c>
      <c r="J180" s="5">
        <v>0</v>
      </c>
      <c r="K180" s="17"/>
      <c r="L180" s="5">
        <f t="shared" si="4"/>
        <v>0</v>
      </c>
    </row>
    <row r="181" spans="1:12" x14ac:dyDescent="0.3">
      <c r="A181" s="10"/>
      <c r="B181" s="17" t="s">
        <v>170</v>
      </c>
      <c r="C181" s="17" t="s">
        <v>182</v>
      </c>
      <c r="D181" s="17" t="s">
        <v>32</v>
      </c>
      <c r="E181" s="17" t="s">
        <v>167</v>
      </c>
      <c r="F181" s="17" t="s">
        <v>186</v>
      </c>
      <c r="H181" s="5">
        <v>0</v>
      </c>
      <c r="I181" s="5">
        <v>0</v>
      </c>
      <c r="J181" s="5">
        <v>0</v>
      </c>
      <c r="K181" s="17"/>
      <c r="L181" s="5">
        <f t="shared" si="4"/>
        <v>0</v>
      </c>
    </row>
    <row r="182" spans="1:12" x14ac:dyDescent="0.3">
      <c r="A182" s="10"/>
      <c r="B182" s="17" t="s">
        <v>170</v>
      </c>
      <c r="C182" s="17" t="s">
        <v>182</v>
      </c>
      <c r="D182" s="17" t="s">
        <v>32</v>
      </c>
      <c r="E182" s="17" t="s">
        <v>11</v>
      </c>
      <c r="F182" s="17" t="s">
        <v>186</v>
      </c>
      <c r="H182" s="5">
        <v>0</v>
      </c>
      <c r="I182" s="5">
        <v>0</v>
      </c>
      <c r="J182" s="5">
        <v>0</v>
      </c>
      <c r="K182" s="17"/>
      <c r="L182" s="5">
        <f t="shared" si="4"/>
        <v>0</v>
      </c>
    </row>
    <row r="183" spans="1:12" x14ac:dyDescent="0.3">
      <c r="A183" s="10"/>
      <c r="B183" s="17" t="s">
        <v>171</v>
      </c>
      <c r="C183" s="17" t="s">
        <v>182</v>
      </c>
      <c r="D183" s="17" t="s">
        <v>32</v>
      </c>
      <c r="E183" s="17" t="s">
        <v>33</v>
      </c>
      <c r="F183" s="17" t="s">
        <v>186</v>
      </c>
      <c r="H183" s="5">
        <v>0</v>
      </c>
      <c r="I183" s="5">
        <v>0</v>
      </c>
      <c r="J183" s="5">
        <v>0</v>
      </c>
      <c r="K183" s="17"/>
      <c r="L183" s="5">
        <f t="shared" ref="L183:L188" si="5">H183-I183-J183</f>
        <v>0</v>
      </c>
    </row>
    <row r="184" spans="1:12" x14ac:dyDescent="0.3">
      <c r="A184" s="10"/>
      <c r="B184" s="17" t="s">
        <v>172</v>
      </c>
      <c r="C184" s="17" t="s">
        <v>182</v>
      </c>
      <c r="D184" s="17" t="s">
        <v>32</v>
      </c>
      <c r="E184" s="17" t="s">
        <v>11</v>
      </c>
      <c r="F184" s="17" t="s">
        <v>186</v>
      </c>
      <c r="H184" s="5">
        <v>0</v>
      </c>
      <c r="I184" s="5">
        <v>0</v>
      </c>
      <c r="J184" s="5">
        <v>0</v>
      </c>
      <c r="K184" s="17"/>
      <c r="L184" s="5">
        <f t="shared" si="5"/>
        <v>0</v>
      </c>
    </row>
    <row r="185" spans="1:12" x14ac:dyDescent="0.3">
      <c r="A185" s="10"/>
      <c r="B185" s="17" t="s">
        <v>173</v>
      </c>
      <c r="C185" s="17" t="s">
        <v>182</v>
      </c>
      <c r="D185" s="17" t="s">
        <v>32</v>
      </c>
      <c r="E185" s="17" t="s">
        <v>21</v>
      </c>
      <c r="F185" s="17" t="s">
        <v>186</v>
      </c>
      <c r="H185" s="5">
        <v>0</v>
      </c>
      <c r="I185" s="5">
        <v>0</v>
      </c>
      <c r="J185" s="5">
        <v>0</v>
      </c>
      <c r="K185" s="17"/>
      <c r="L185" s="5">
        <f t="shared" si="5"/>
        <v>0</v>
      </c>
    </row>
    <row r="186" spans="1:12" x14ac:dyDescent="0.3">
      <c r="A186" s="10"/>
      <c r="B186" s="17" t="s">
        <v>174</v>
      </c>
      <c r="C186" s="17" t="s">
        <v>182</v>
      </c>
      <c r="D186" s="17" t="s">
        <v>32</v>
      </c>
      <c r="E186" s="17" t="s">
        <v>66</v>
      </c>
      <c r="F186" s="17" t="s">
        <v>186</v>
      </c>
      <c r="H186" s="5">
        <v>0</v>
      </c>
      <c r="I186" s="5">
        <v>0</v>
      </c>
      <c r="J186" s="5">
        <v>0</v>
      </c>
      <c r="K186" s="17"/>
      <c r="L186" s="5">
        <f t="shared" si="5"/>
        <v>0</v>
      </c>
    </row>
    <row r="187" spans="1:12" x14ac:dyDescent="0.3">
      <c r="A187" s="10"/>
      <c r="B187" s="17" t="s">
        <v>175</v>
      </c>
      <c r="C187" s="17" t="s">
        <v>182</v>
      </c>
      <c r="D187" s="17" t="s">
        <v>32</v>
      </c>
      <c r="E187" s="17" t="s">
        <v>167</v>
      </c>
      <c r="F187" s="17" t="s">
        <v>186</v>
      </c>
      <c r="H187" s="5">
        <v>0</v>
      </c>
      <c r="I187" s="5">
        <v>0</v>
      </c>
      <c r="J187" s="5">
        <v>0</v>
      </c>
      <c r="K187" s="17"/>
      <c r="L187" s="5">
        <f t="shared" si="5"/>
        <v>0</v>
      </c>
    </row>
    <row r="188" spans="1:12" x14ac:dyDescent="0.3">
      <c r="A188" s="10"/>
      <c r="B188" s="17" t="s">
        <v>176</v>
      </c>
      <c r="C188" s="17" t="s">
        <v>182</v>
      </c>
      <c r="D188" s="17" t="s">
        <v>32</v>
      </c>
      <c r="E188" s="17" t="s">
        <v>13</v>
      </c>
      <c r="F188" s="17" t="s">
        <v>186</v>
      </c>
      <c r="H188" s="5">
        <v>0</v>
      </c>
      <c r="I188" s="5">
        <v>0</v>
      </c>
      <c r="J188" s="5">
        <v>0</v>
      </c>
      <c r="K188" s="17"/>
      <c r="L188" s="5">
        <f t="shared" si="5"/>
        <v>0</v>
      </c>
    </row>
  </sheetData>
  <sortState xmlns:xlrd2="http://schemas.microsoft.com/office/spreadsheetml/2017/richdata2" ref="A2:K167">
    <sortCondition ref="A1"/>
  </sortState>
  <phoneticPr fontId="10" type="noConversion"/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1ED78-92F4-42B5-98D3-D15FD4464556}">
  <dimension ref="A3:M16"/>
  <sheetViews>
    <sheetView workbookViewId="0">
      <selection activeCell="G7" sqref="G4:G8"/>
      <pivotSelection pane="bottomRight" showHeader="1" activeRow="6" activeCol="6" click="1" r:id="rId2">
        <pivotArea dataOnly="0" labelOnly="1" fieldPosition="0">
          <references count="1">
            <reference field="2" count="0"/>
          </references>
        </pivotArea>
      </pivotSelection>
    </sheetView>
  </sheetViews>
  <sheetFormatPr defaultRowHeight="14.4" x14ac:dyDescent="0.3"/>
  <cols>
    <col min="1" max="1" width="17" bestFit="1" customWidth="1"/>
    <col min="2" max="2" width="11.21875" customWidth="1"/>
    <col min="4" max="4" width="17" bestFit="1" customWidth="1"/>
    <col min="5" max="5" width="18.88671875" customWidth="1"/>
    <col min="7" max="7" width="8.88671875" customWidth="1"/>
    <col min="8" max="8" width="9.6640625" customWidth="1"/>
    <col min="11" max="11" width="26.109375" customWidth="1"/>
    <col min="12" max="12" width="11.109375" customWidth="1"/>
    <col min="13" max="13" width="9.5546875" customWidth="1"/>
  </cols>
  <sheetData>
    <row r="3" spans="1:13" x14ac:dyDescent="0.3">
      <c r="A3" s="22" t="s">
        <v>194</v>
      </c>
      <c r="B3" t="s">
        <v>196</v>
      </c>
      <c r="D3" s="22" t="s">
        <v>194</v>
      </c>
      <c r="E3" t="s">
        <v>196</v>
      </c>
      <c r="G3" s="22" t="s">
        <v>194</v>
      </c>
      <c r="H3" t="s">
        <v>196</v>
      </c>
      <c r="J3" t="s">
        <v>196</v>
      </c>
      <c r="K3" t="s">
        <v>198</v>
      </c>
      <c r="L3" t="s">
        <v>200</v>
      </c>
      <c r="M3" t="s">
        <v>199</v>
      </c>
    </row>
    <row r="4" spans="1:13" x14ac:dyDescent="0.3">
      <c r="A4" s="23" t="s">
        <v>169</v>
      </c>
      <c r="B4" s="24">
        <v>22663.074000000001</v>
      </c>
      <c r="D4" s="23" t="s">
        <v>13</v>
      </c>
      <c r="E4" s="24">
        <v>100880.22796094838</v>
      </c>
      <c r="G4" s="23" t="s">
        <v>181</v>
      </c>
      <c r="H4" s="25">
        <v>188958.83771428574</v>
      </c>
      <c r="J4" s="24">
        <v>774765.09092572215</v>
      </c>
      <c r="K4" s="24">
        <v>280540.86441605847</v>
      </c>
      <c r="L4" s="24">
        <v>182549.3200295023</v>
      </c>
      <c r="M4" s="24">
        <v>311674.90648016159</v>
      </c>
    </row>
    <row r="5" spans="1:13" x14ac:dyDescent="0.3">
      <c r="A5" s="23" t="s">
        <v>170</v>
      </c>
      <c r="B5" s="24">
        <v>4324.51</v>
      </c>
      <c r="D5" s="23" t="s">
        <v>167</v>
      </c>
      <c r="E5" s="37">
        <v>10346</v>
      </c>
      <c r="G5" s="23" t="s">
        <v>183</v>
      </c>
      <c r="H5" s="25">
        <v>187181.9120147838</v>
      </c>
    </row>
    <row r="6" spans="1:13" x14ac:dyDescent="0.3">
      <c r="A6" s="23" t="s">
        <v>171</v>
      </c>
      <c r="B6" s="24">
        <v>57190.135999999999</v>
      </c>
      <c r="D6" s="23" t="s">
        <v>66</v>
      </c>
      <c r="E6" s="37">
        <v>90812.800000000003</v>
      </c>
      <c r="G6" s="23" t="s">
        <v>189</v>
      </c>
      <c r="H6" s="25">
        <v>158643.59</v>
      </c>
    </row>
    <row r="7" spans="1:13" x14ac:dyDescent="0.3">
      <c r="A7" s="23" t="s">
        <v>172</v>
      </c>
      <c r="B7" s="24">
        <v>53069.924000000006</v>
      </c>
      <c r="D7" s="23" t="s">
        <v>21</v>
      </c>
      <c r="E7" s="24">
        <v>353574.54896477389</v>
      </c>
      <c r="G7" s="23" t="s">
        <v>182</v>
      </c>
      <c r="H7" s="25">
        <v>95952.373235704319</v>
      </c>
    </row>
    <row r="8" spans="1:13" x14ac:dyDescent="0.3">
      <c r="A8" s="23" t="s">
        <v>173</v>
      </c>
      <c r="B8" s="24">
        <v>74190.100000000006</v>
      </c>
      <c r="D8" s="23" t="s">
        <v>30</v>
      </c>
      <c r="E8" s="24">
        <v>67519.87</v>
      </c>
      <c r="G8" s="23" t="s">
        <v>197</v>
      </c>
      <c r="H8" s="25">
        <v>144028.37796094842</v>
      </c>
    </row>
    <row r="9" spans="1:13" x14ac:dyDescent="0.3">
      <c r="A9" s="23" t="s">
        <v>174</v>
      </c>
      <c r="B9" s="24">
        <v>110032.60779999998</v>
      </c>
      <c r="D9" s="23" t="s">
        <v>11</v>
      </c>
      <c r="E9" s="24">
        <v>15599.7</v>
      </c>
      <c r="G9" s="23" t="s">
        <v>195</v>
      </c>
      <c r="H9" s="24">
        <v>774765.09092572227</v>
      </c>
    </row>
    <row r="10" spans="1:13" x14ac:dyDescent="0.3">
      <c r="A10" s="23" t="s">
        <v>175</v>
      </c>
      <c r="B10" s="24">
        <v>30660.940000000002</v>
      </c>
      <c r="D10" s="23" t="s">
        <v>33</v>
      </c>
      <c r="E10" s="24">
        <v>136031.94399999999</v>
      </c>
    </row>
    <row r="11" spans="1:13" x14ac:dyDescent="0.3">
      <c r="A11" s="23" t="s">
        <v>176</v>
      </c>
      <c r="B11" s="24">
        <v>10111.720000000001</v>
      </c>
      <c r="D11" s="23" t="s">
        <v>195</v>
      </c>
      <c r="E11" s="24">
        <v>774765.09092572227</v>
      </c>
    </row>
    <row r="12" spans="1:13" x14ac:dyDescent="0.3">
      <c r="A12" s="23" t="s">
        <v>177</v>
      </c>
      <c r="B12" s="24">
        <v>47178.929999999993</v>
      </c>
    </row>
    <row r="13" spans="1:13" x14ac:dyDescent="0.3">
      <c r="A13" s="23" t="s">
        <v>178</v>
      </c>
      <c r="B13" s="24">
        <v>231540.1519290696</v>
      </c>
    </row>
    <row r="14" spans="1:13" x14ac:dyDescent="0.3">
      <c r="A14" s="23" t="s">
        <v>179</v>
      </c>
      <c r="B14" s="24">
        <v>60930.55</v>
      </c>
    </row>
    <row r="15" spans="1:13" x14ac:dyDescent="0.3">
      <c r="A15" s="23" t="s">
        <v>180</v>
      </c>
      <c r="B15" s="24">
        <v>72872.44719665272</v>
      </c>
    </row>
    <row r="16" spans="1:13" x14ac:dyDescent="0.3">
      <c r="A16" s="23" t="s">
        <v>195</v>
      </c>
      <c r="B16" s="24">
        <v>774765.09092572238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9D976-0A64-4D6E-B174-A953EFB31B79}">
  <dimension ref="A1:V39"/>
  <sheetViews>
    <sheetView showGridLines="0" tabSelected="1" zoomScale="93" zoomScaleNormal="93" workbookViewId="0">
      <selection activeCell="X2" sqref="X2"/>
    </sheetView>
  </sheetViews>
  <sheetFormatPr defaultRowHeight="14.4" x14ac:dyDescent="0.3"/>
  <cols>
    <col min="1" max="1" width="1.21875" style="26" customWidth="1"/>
    <col min="2" max="2" width="8.88671875" style="26" customWidth="1"/>
    <col min="3" max="3" width="12.6640625" style="26" customWidth="1"/>
    <col min="4" max="4" width="1.6640625" style="26" customWidth="1"/>
    <col min="5" max="5" width="17.5546875" style="26" customWidth="1"/>
    <col min="6" max="6" width="0.77734375" style="26" customWidth="1"/>
    <col min="7" max="7" width="14.6640625" style="26" customWidth="1"/>
    <col min="8" max="8" width="2.88671875" style="26" customWidth="1"/>
    <col min="9" max="9" width="17.44140625" style="26" customWidth="1"/>
    <col min="10" max="10" width="3.109375" style="26" customWidth="1"/>
    <col min="11" max="11" width="16.88671875" style="26" customWidth="1"/>
    <col min="12" max="12" width="6.33203125" style="26" customWidth="1"/>
    <col min="13" max="13" width="12.33203125" style="26" customWidth="1"/>
    <col min="14" max="14" width="7.109375" style="26" customWidth="1"/>
    <col min="15" max="15" width="8.88671875" style="26"/>
    <col min="16" max="16" width="10.6640625" style="26" customWidth="1"/>
    <col min="17" max="17" width="16.44140625" style="26" customWidth="1"/>
    <col min="18" max="16384" width="8.88671875" style="26"/>
  </cols>
  <sheetData>
    <row r="1" spans="1:22" ht="5.4" customHeight="1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16.2" customHeigh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9" t="s">
        <v>204</v>
      </c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ht="10.8" customHeight="1" x14ac:dyDescent="0.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ht="18" x14ac:dyDescent="0.3">
      <c r="A4" s="28"/>
      <c r="B4" s="28"/>
      <c r="C4" s="28"/>
      <c r="D4" s="28"/>
      <c r="E4" s="32" t="s">
        <v>201</v>
      </c>
      <c r="F4" s="33"/>
      <c r="G4" s="30"/>
      <c r="H4" s="36"/>
      <c r="I4" s="32" t="s">
        <v>202</v>
      </c>
      <c r="J4" s="36"/>
      <c r="K4" s="30"/>
      <c r="L4" s="36"/>
      <c r="M4" s="32" t="s">
        <v>8</v>
      </c>
      <c r="N4" s="36"/>
      <c r="O4" s="30"/>
      <c r="P4" s="30"/>
      <c r="Q4" s="32" t="s">
        <v>203</v>
      </c>
      <c r="R4" s="28"/>
      <c r="S4" s="28"/>
      <c r="T4" s="28"/>
      <c r="U4" s="28"/>
      <c r="V4" s="28"/>
    </row>
    <row r="5" spans="1:22" ht="18" x14ac:dyDescent="0.3">
      <c r="A5" s="28"/>
      <c r="B5" s="28"/>
      <c r="C5" s="28"/>
      <c r="D5" s="28"/>
      <c r="E5" s="34">
        <f>Сводные!J4</f>
        <v>774765.09092572215</v>
      </c>
      <c r="F5" s="35"/>
      <c r="G5" s="30"/>
      <c r="H5" s="36"/>
      <c r="I5" s="34">
        <f>Сводные!K4</f>
        <v>280540.86441605847</v>
      </c>
      <c r="J5" s="35"/>
      <c r="K5" s="31"/>
      <c r="L5" s="35"/>
      <c r="M5" s="34">
        <f>Сводные!L4</f>
        <v>182549.3200295023</v>
      </c>
      <c r="N5" s="35"/>
      <c r="O5" s="31"/>
      <c r="P5" s="31"/>
      <c r="Q5" s="34">
        <f>Сводные!M4</f>
        <v>311674.90648016159</v>
      </c>
      <c r="R5" s="28"/>
      <c r="S5" s="28"/>
      <c r="T5" s="28"/>
      <c r="U5" s="28"/>
      <c r="V5" s="28"/>
    </row>
    <row r="6" spans="1:22" ht="6.6" customHeight="1" x14ac:dyDescent="0.3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1:22" x14ac:dyDescent="0.3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 x14ac:dyDescent="0.3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 x14ac:dyDescent="0.3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 x14ac:dyDescent="0.3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22" x14ac:dyDescent="0.3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22" x14ac:dyDescent="0.3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22" x14ac:dyDescent="0.3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22" x14ac:dyDescent="0.3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22" x14ac:dyDescent="0.3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22" x14ac:dyDescent="0.3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1:22" x14ac:dyDescent="0.3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1:22" x14ac:dyDescent="0.3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</row>
    <row r="19" spans="1:22" x14ac:dyDescent="0.3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spans="1:22" x14ac:dyDescent="0.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</row>
    <row r="21" spans="1:22" x14ac:dyDescent="0.3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x14ac:dyDescent="0.3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1:22" x14ac:dyDescent="0.3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spans="1:22" x14ac:dyDescent="0.3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</row>
    <row r="25" spans="1:22" x14ac:dyDescent="0.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</row>
    <row r="26" spans="1:22" x14ac:dyDescent="0.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7" spans="1:22" x14ac:dyDescent="0.3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</row>
    <row r="28" spans="1:22" x14ac:dyDescent="0.3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</row>
    <row r="29" spans="1:22" x14ac:dyDescent="0.3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</row>
    <row r="30" spans="1:22" x14ac:dyDescent="0.3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</row>
    <row r="31" spans="1:22" x14ac:dyDescent="0.3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</row>
    <row r="32" spans="1:22" x14ac:dyDescent="0.3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1:22" x14ac:dyDescent="0.3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</row>
    <row r="34" spans="1:22" x14ac:dyDescent="0.3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</row>
    <row r="35" spans="1:22" x14ac:dyDescent="0.3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</row>
    <row r="36" spans="1:22" x14ac:dyDescent="0.3">
      <c r="R36" s="27"/>
      <c r="S36" s="27"/>
      <c r="T36" s="27"/>
      <c r="U36" s="27"/>
      <c r="V36" s="27"/>
    </row>
    <row r="37" spans="1:22" x14ac:dyDescent="0.3">
      <c r="R37" s="27"/>
      <c r="S37" s="27"/>
      <c r="T37" s="27"/>
      <c r="U37" s="27"/>
      <c r="V37" s="27"/>
    </row>
    <row r="38" spans="1:22" x14ac:dyDescent="0.3">
      <c r="R38" s="27"/>
      <c r="S38" s="27"/>
      <c r="T38" s="27"/>
      <c r="U38" s="27"/>
      <c r="V38" s="27"/>
    </row>
    <row r="39" spans="1:22" x14ac:dyDescent="0.3">
      <c r="R39" s="27"/>
      <c r="S39" s="27"/>
      <c r="T39" s="27"/>
      <c r="U39" s="27"/>
      <c r="V39" s="27"/>
    </row>
  </sheetData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Заказы</vt:lpstr>
      <vt:lpstr>Сводные</vt:lpstr>
      <vt:lpstr>Дэшборд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2025-05-15T14:39:52Z</dcterms:created>
  <dcterms:modified xsi:type="dcterms:W3CDTF">2025-05-31T10:39:49Z</dcterms:modified>
</cp:coreProperties>
</file>